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orvin/Downloads/"/>
    </mc:Choice>
  </mc:AlternateContent>
  <bookViews>
    <workbookView xWindow="0" yWindow="440" windowWidth="38400" windowHeight="19840" tabRatio="838"/>
  </bookViews>
  <sheets>
    <sheet name="Комплектующие" sheetId="46" r:id="rId1"/>
    <sheet name="Колпаки и дымники" sheetId="48" r:id="rId2"/>
    <sheet name="Доборные элементы кровли" sheetId="44" r:id="rId3"/>
  </sheets>
  <externalReferences>
    <externalReference r:id="rId4"/>
  </externalReferences>
  <definedNames>
    <definedName name="Belarus">1</definedName>
    <definedName name="Belarusclplus">0</definedName>
    <definedName name="Belaruskv">0</definedName>
    <definedName name="BelarusUno">0</definedName>
    <definedName name="Classic_Atl">[1]Цены!$R$8</definedName>
    <definedName name="Classic_Dr">[1]Цены!$Z$8</definedName>
    <definedName name="Classic_Pe04">[1]Цены!$AL$8</definedName>
    <definedName name="Classic_Pe045">[1]Цены!$AJ$8</definedName>
    <definedName name="Classic_PeMatt04">[1]Цены!$AP$8</definedName>
    <definedName name="Classic_PeMatt045">[1]Цены!$AN$8</definedName>
    <definedName name="Classic_Pt">[1]Цены!$F$8</definedName>
    <definedName name="Classic_PtRF">[1]Цены!$BN$8</definedName>
    <definedName name="Classic_Pur">[1]Цены!$V$8</definedName>
    <definedName name="Classic_PurMatt">[1]Цены!$T$8</definedName>
    <definedName name="Classic_Q">[1]Цены!$L$8</definedName>
    <definedName name="Classic_Ql">[1]Цены!$N$8</definedName>
    <definedName name="Classic_QproMatt">[1]Цены!$J$8</definedName>
    <definedName name="Classic_Sat">[1]Цены!$AB$8</definedName>
    <definedName name="Classic_Sf">[1]Цены!$H$8</definedName>
    <definedName name="Classic_StBarhat">[1]Цены!$X$8</definedName>
    <definedName name="Classic_Vel">[1]Цены!$P$8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Falz2_Atl">[1]Цены!$R$12</definedName>
    <definedName name="Falz2_Dr">[1]Цены!$Z$12</definedName>
    <definedName name="Falz2_Pe045">[1]Цены!$AJ$12</definedName>
    <definedName name="Falz2_Pe07">[1]Цены!$AH$12</definedName>
    <definedName name="Falz2_PeMatt045">[1]Цены!$AN$12</definedName>
    <definedName name="Falz2_Pt">[1]Цены!$F$12</definedName>
    <definedName name="Falz2_Pur">[1]Цены!$V$12</definedName>
    <definedName name="Falz2_PurMatt">[1]Цены!$T$12</definedName>
    <definedName name="Falz2_Q">[1]Цены!$L$12</definedName>
    <definedName name="Falz2_Ql">[1]Цены!$N$12</definedName>
    <definedName name="Falz2_QproMatt">[1]Цены!$J$12</definedName>
    <definedName name="Falz2_Sat">[1]Цены!$AB$12</definedName>
    <definedName name="Falz2_Sf">[1]Цены!$H$12</definedName>
    <definedName name="Falz2_StBarhat">[1]Цены!$X$12</definedName>
    <definedName name="Falz2_Vel">[1]Цены!$P$12</definedName>
    <definedName name="Falz2_Zn055">[1]Цены!$BF$12</definedName>
    <definedName name="Falz2_Zn07">[1]Цены!$BH$12</definedName>
    <definedName name="Kamea_Atl">[1]Цены!$R$6</definedName>
    <definedName name="Kamea_Dr">[1]Цены!$Z$6</definedName>
    <definedName name="Kamea_Pe045">[1]Цены!$AJ$6</definedName>
    <definedName name="Kamea_PeMatt045">[1]Цены!$AN$6</definedName>
    <definedName name="Kamea_Pt">[1]Цены!$F$6</definedName>
    <definedName name="Kamea_Pur">[1]Цены!$V$6</definedName>
    <definedName name="Kamea_PurMatt">[1]Цены!$T$6</definedName>
    <definedName name="Kamea_Q">[1]Цены!$L$6</definedName>
    <definedName name="Kamea_Ql">[1]Цены!$N$6</definedName>
    <definedName name="Kamea_QproMatt">[1]Цены!$J$6</definedName>
    <definedName name="Kamea_Sat">[1]Цены!$AB$6</definedName>
    <definedName name="Kamea_Sf">[1]Цены!$H$6</definedName>
    <definedName name="Kamea_StBarhat">[1]Цены!$X$6</definedName>
    <definedName name="Kamea_Vel">[1]Цены!$P$6</definedName>
    <definedName name="Klik_Atl">[1]Цены!$R$13</definedName>
    <definedName name="Klik_Dr">[1]Цены!$Z$13</definedName>
    <definedName name="Klik_mini_Atl">[1]Цены!$R$14</definedName>
    <definedName name="Klik_mini_Dr">[1]Цены!$Z$14</definedName>
    <definedName name="Klik_mini_Pe045">[1]Цены!$AJ$14</definedName>
    <definedName name="Klik_mini_Pe07">[1]Цены!$AH$14</definedName>
    <definedName name="Klik_mini_PeMatt045">[1]Цены!$AN$14</definedName>
    <definedName name="Klik_mini_Pt">[1]Цены!$F$14</definedName>
    <definedName name="Klik_mini_Q">[1]Цены!$L$14</definedName>
    <definedName name="Klik_mini_Ql">[1]Цены!$N$14</definedName>
    <definedName name="Klik_mini_QproMatt">[1]Цены!$J$14</definedName>
    <definedName name="Klik_mini_Sat">[1]Цены!$AB$14</definedName>
    <definedName name="Klik_mini_Sf">[1]Цены!$H$14</definedName>
    <definedName name="Klik_mini_StBarhat">[1]Цены!$X$14</definedName>
    <definedName name="Klik_mini_Vel">[1]Цены!$P$14</definedName>
    <definedName name="Klik_mini_Zn055">[1]Цены!$BF$14</definedName>
    <definedName name="Klik_mini_Zn07">[1]Цены!$BH$14</definedName>
    <definedName name="Klik_Pe045">[1]Цены!$AJ$13</definedName>
    <definedName name="Klik_Pe07">[1]Цены!$AH$13</definedName>
    <definedName name="Klik_PeMatt045">[1]Цены!$AN$13</definedName>
    <definedName name="Klik_Pt">[1]Цены!$F$13</definedName>
    <definedName name="Klik_Q">[1]Цены!$L$13</definedName>
    <definedName name="Klik_Ql">[1]Цены!$N$13</definedName>
    <definedName name="Klik_QproMatt">[1]Цены!$J$13</definedName>
    <definedName name="Klik_Sat">[1]Цены!$AB$13</definedName>
    <definedName name="Klik_Sf">[1]Цены!$H$13</definedName>
    <definedName name="Klik_StBarhat">[1]Цены!$X$13</definedName>
    <definedName name="Klik_Vel">[1]Цены!$P$13</definedName>
    <definedName name="Klik_Zn055">[1]Цены!$BF$13</definedName>
    <definedName name="Klik_Zn07">[1]Цены!$BH$13</definedName>
    <definedName name="Kredo_Atl">[1]Цены!$R$7</definedName>
    <definedName name="Kredo_Dr">[1]Цены!$Z$7</definedName>
    <definedName name="Kredo_Pe045">[1]Цены!$AJ$7</definedName>
    <definedName name="Kredo_PeMatt045">[1]Цены!$AN$7</definedName>
    <definedName name="Kredo_Pt">[1]Цены!$F$7</definedName>
    <definedName name="Kredo_Pur">[1]Цены!$V$7</definedName>
    <definedName name="Kredo_PurMatt">[1]Цены!$T$7</definedName>
    <definedName name="Kredo_Q">[1]Цены!$L$7</definedName>
    <definedName name="Kredo_Ql">[1]Цены!$N$7</definedName>
    <definedName name="Kredo_QproMatt">[1]Цены!$J$7</definedName>
    <definedName name="Kredo_Sat">[1]Цены!$AB$7</definedName>
    <definedName name="Kredo_Sf">[1]Цены!$H$7</definedName>
    <definedName name="Kredo_StBarhat">[1]Цены!$X$7</definedName>
    <definedName name="Kredo_Vel">[1]Цены!$P$7</definedName>
    <definedName name="KvintaPl_Atl">[1]Цены!$R$4</definedName>
    <definedName name="KvintaPl_Dr">[1]Цены!$Z$4</definedName>
    <definedName name="KvintaPl_Pe045">[1]Цены!$AJ$4</definedName>
    <definedName name="KvintaPl_PeMatt045">[1]Цены!$AN$4</definedName>
    <definedName name="KvintaPl_Pt">[1]Цены!$F$4</definedName>
    <definedName name="KvintaPl_Pur">[1]Цены!$V$4</definedName>
    <definedName name="KvintaPl_PurMatt">[1]Цены!$T$4</definedName>
    <definedName name="KvintaPl_Q">[1]Цены!$L$4</definedName>
    <definedName name="KvintaPl_Ql">[1]Цены!$N$4</definedName>
    <definedName name="KvintaPl_QproMatt">[1]Цены!$J$4</definedName>
    <definedName name="KvintaPl_Sat">[1]Цены!$AB$4</definedName>
    <definedName name="KvintaPl_Sf">[1]Цены!$H$4</definedName>
    <definedName name="KvintaPl_StBarhat">[1]Цены!$X$4</definedName>
    <definedName name="KvintaPl_Vel">[1]Цены!$P$4</definedName>
    <definedName name="KvintaUno_Atl">[1]Цены!$R$5</definedName>
    <definedName name="KvintaUno_Dr">[1]Цены!$Z$5</definedName>
    <definedName name="KvintaUno_Pe045">[1]Цены!$AJ$5</definedName>
    <definedName name="KvintaUno_PeMatt045">[1]Цены!$AN$5</definedName>
    <definedName name="KvintaUno_Pt">[1]Цены!$F$5</definedName>
    <definedName name="KvintaUno_Pur">[1]Цены!$V$5</definedName>
    <definedName name="KvintaUno_PurMatt">[1]Цены!$T$5</definedName>
    <definedName name="KvintaUno_Q">[1]Цены!$L$5</definedName>
    <definedName name="KvintaUno_Ql">[1]Цены!$N$5</definedName>
    <definedName name="KvintaUno_QproMatt">[1]Цены!$J$5</definedName>
    <definedName name="KvintaUno_Sat">[1]Цены!$AB$5</definedName>
    <definedName name="KvintaUno_Sf">[1]Цены!$H$5</definedName>
    <definedName name="KvintaUno_StBarhat">[1]Цены!$X$5</definedName>
    <definedName name="KvintaUno_Vel">[1]Цены!$P$5</definedName>
    <definedName name="List_Atl">[1]Цены!$R$26</definedName>
    <definedName name="List_dachPr">[1]Цены!$AR$26</definedName>
    <definedName name="List_dachSk">[1]Цены!$AT$26</definedName>
    <definedName name="List_Dr">[1]Цены!$Z$26</definedName>
    <definedName name="List_Pe04">[1]Цены!$AL$26</definedName>
    <definedName name="List_Pe045">[1]Цены!$AJ$26</definedName>
    <definedName name="List_Pe07">[1]Цены!$AH$26</definedName>
    <definedName name="List_Pe08">[1]Цены!$AF$26</definedName>
    <definedName name="List_PEdp">[1]Цены!$AD$26</definedName>
    <definedName name="List_PeMatt04">[1]Цены!$AP$26</definedName>
    <definedName name="List_PeMatt045">[1]Цены!$AN$26</definedName>
    <definedName name="List_Pt">[1]Цены!$F$26</definedName>
    <definedName name="List_Ptdp">[1]Цены!$D$26</definedName>
    <definedName name="List_PtRF">[1]Цены!$BN$26</definedName>
    <definedName name="List_Pur">[1]Цены!$V$26</definedName>
    <definedName name="List_PurMatt">[1]Цены!$T$26</definedName>
    <definedName name="List_Q">[1]Цены!$L$26</definedName>
    <definedName name="List_Ql">[1]Цены!$N$26</definedName>
    <definedName name="List_QproMatt">[1]Цены!$J$26</definedName>
    <definedName name="List_Sat">[1]Цены!$AB$26</definedName>
    <definedName name="List_Sf">[1]Цены!$H$26</definedName>
    <definedName name="List_StBarhat">[1]Цены!$X$26</definedName>
    <definedName name="List_Vel">[1]Цены!$P$26</definedName>
    <definedName name="List_Zn035">[1]Цены!$AX$26</definedName>
    <definedName name="List_Zn04">[1]Цены!$AZ$26</definedName>
    <definedName name="List_Zn045">[1]Цены!$BB$26</definedName>
    <definedName name="List_Zn05">[1]Цены!$BD$26</definedName>
    <definedName name="List_Zn055">[1]Цены!$BF$26</definedName>
    <definedName name="List_Zn07">[1]Цены!$BH$26</definedName>
    <definedName name="List_Zn08">[1]Цены!$BJ$26</definedName>
    <definedName name="List_Zn09">[1]Цены!$BL$26</definedName>
    <definedName name="Modern_Dr">[1]Цены!$Z$9</definedName>
    <definedName name="Modern_Pe04">[1]Цены!$AL$9</definedName>
    <definedName name="Modern_Pe045">[1]Цены!$AJ$9</definedName>
    <definedName name="Modern_PeMatt04">[1]Цены!$AP$9</definedName>
    <definedName name="Modern_PeMatt045">[1]Цены!$AN$9</definedName>
    <definedName name="PnC10_Atl">[1]Цены!$R$17</definedName>
    <definedName name="PnC10_dachPr">[1]Цены!$AR$17</definedName>
    <definedName name="PnC10_Dr">[1]Цены!$Z$17</definedName>
    <definedName name="PnC10_Pe04">[1]Цены!$AL$17</definedName>
    <definedName name="PnC10_Pe045">[1]Цены!$AJ$17</definedName>
    <definedName name="PnC10_PEdp">[1]Цены!$AD$17</definedName>
    <definedName name="PnC10_PeMatt04">[1]Цены!$AP$17</definedName>
    <definedName name="PnC10_PeMatt045">[1]Цены!$AN$17</definedName>
    <definedName name="PnC10_Pt">[1]Цены!$F$17</definedName>
    <definedName name="PnC10_Ptdp">[1]Цены!$D$17</definedName>
    <definedName name="PnC10_PtRF">[1]Цены!$BN$17</definedName>
    <definedName name="PnC10_Pur">[1]Цены!$V$17</definedName>
    <definedName name="PnC10_PurMatt">[1]Цены!$T$17</definedName>
    <definedName name="PnC10_Q">[1]Цены!$L$17</definedName>
    <definedName name="PnC10_Ql">[1]Цены!$N$17</definedName>
    <definedName name="PnC10_QproMatt">[1]Цены!$J$17</definedName>
    <definedName name="PnC10_Sat">[1]Цены!$AB$17</definedName>
    <definedName name="PnC10_Sf">[1]Цены!$H$17</definedName>
    <definedName name="PnC10_StBarhat">[1]Цены!$X$17</definedName>
    <definedName name="PnC10_Vel">[1]Цены!$P$17</definedName>
    <definedName name="PnC10_Zn035">[1]Цены!$AX$17</definedName>
    <definedName name="PnC10_Zn04">[1]Цены!$AZ$17</definedName>
    <definedName name="PnC10_Zn045">[1]Цены!$BB$17</definedName>
    <definedName name="PnC10_Zn05">[1]Цены!$BD$17</definedName>
    <definedName name="PnC10_Zn055">[1]Цены!$BF$17</definedName>
    <definedName name="PnC10_Zn07">[1]Цены!$BH$17</definedName>
    <definedName name="PnC10f_Atl">[1]Цены!$R$18</definedName>
    <definedName name="PnC10f_Dr">[1]Цены!$Z$18</definedName>
    <definedName name="PnC10f_Pe045">[1]Цены!$AJ$18</definedName>
    <definedName name="PnC10f_PEdp">[1]Цены!$AD$18</definedName>
    <definedName name="PnC10f_PeMatt04">[1]Цены!$AP$18</definedName>
    <definedName name="PnC10f_PeMatt045">[1]Цены!$AN$18</definedName>
    <definedName name="PnC10f_Pt">[1]Цены!$F$18</definedName>
    <definedName name="PnC10f_Ptdp">[1]Цены!$D$18</definedName>
    <definedName name="PnC10f_PtRF">[1]Цены!$BN$18</definedName>
    <definedName name="PnC10f_Pur">[1]Цены!$V$18</definedName>
    <definedName name="PnC10f_PurMatt">[1]Цены!$T$18</definedName>
    <definedName name="PnC10f_Q">[1]Цены!$L$18</definedName>
    <definedName name="PnC10f_Ql">[1]Цены!$N$18</definedName>
    <definedName name="PnC10f_QproMatt">[1]Цены!$J$18</definedName>
    <definedName name="PnC10f_Sat">[1]Цены!$AB$18</definedName>
    <definedName name="PnC10f_Sf">[1]Цены!$H$18</definedName>
    <definedName name="PnC10f_StBarhat">[1]Цены!$X$18</definedName>
    <definedName name="PnC10f_Vel">[1]Цены!$P$18</definedName>
    <definedName name="PnC10f_Zn045">[1]Цены!$BB$18</definedName>
    <definedName name="PnC10f_Zn05">[1]Цены!$BD$18</definedName>
    <definedName name="PnC20_Atl">[1]Цены!$R$19</definedName>
    <definedName name="PnC20_dachPr">[1]Цены!$AR$19</definedName>
    <definedName name="PnC20_dachSk">[1]Цены!$AT$19</definedName>
    <definedName name="PnC20_Dr">[1]Цены!$Z$19</definedName>
    <definedName name="PnC20_Pe04">[1]Цены!$AL$19</definedName>
    <definedName name="PnC20_Pe045">[1]Цены!$AJ$19</definedName>
    <definedName name="PnC20_Pe07">[1]Цены!$AH$19</definedName>
    <definedName name="PnC20_PEdp">[1]Цены!$AD$19</definedName>
    <definedName name="PnC20_PeMatt04">[1]Цены!$AP$19</definedName>
    <definedName name="PnC20_PeMatt045">[1]Цены!$AN$19</definedName>
    <definedName name="PnC20_Pt">[1]Цены!$F$19</definedName>
    <definedName name="PnC20_Ptdp">[1]Цены!$D$19</definedName>
    <definedName name="PnC20_PtRF">[1]Цены!$BN$19</definedName>
    <definedName name="PnC20_Pur">[1]Цены!$V$19</definedName>
    <definedName name="PnC20_PurMatt">[1]Цены!$T$19</definedName>
    <definedName name="PnC20_Q">[1]Цены!$L$19</definedName>
    <definedName name="PnC20_Ql">[1]Цены!$N$19</definedName>
    <definedName name="PnC20_QproMatt">[1]Цены!$J$19</definedName>
    <definedName name="PnC20_Sat">[1]Цены!$AB$19</definedName>
    <definedName name="PnC20_Sf">[1]Цены!$H$19</definedName>
    <definedName name="PnC20_StBarhat">[1]Цены!$X$19</definedName>
    <definedName name="PnC20_Vel">[1]Цены!$P$19</definedName>
    <definedName name="PnC20_Zn035">[1]Цены!$AX$19</definedName>
    <definedName name="PnC20_Zn04">[1]Цены!$AZ$19</definedName>
    <definedName name="PnC20_Zn045">[1]Цены!$BB$19</definedName>
    <definedName name="PnC20_Zn05">[1]Цены!$BD$19</definedName>
    <definedName name="PnC20_Zn055">[1]Цены!$BF$19</definedName>
    <definedName name="PnC20_Zn07">[1]Цены!$BH$19</definedName>
    <definedName name="PnC21_Atl">[1]Цены!$R$21</definedName>
    <definedName name="PnC21_Dr">[1]Цены!$Z$21</definedName>
    <definedName name="PnC21_Pe04">[1]Цены!$AL$21</definedName>
    <definedName name="PnC21_Pe045">[1]Цены!$AJ$21</definedName>
    <definedName name="PnC21_Pe07">[1]Цены!$AH$21</definedName>
    <definedName name="PnC21_PEdp">[1]Цены!$AD$21</definedName>
    <definedName name="PnC21_PeMatt04">[1]Цены!$AP$21</definedName>
    <definedName name="PnC21_PeMatt045">[1]Цены!$AN$21</definedName>
    <definedName name="PnC21_Pt">[1]Цены!$F$21</definedName>
    <definedName name="PnC21_Ptdp">[1]Цены!$D$21</definedName>
    <definedName name="PnC21_PtRF">[1]Цены!$BN$21</definedName>
    <definedName name="PnC21_Pur">[1]Цены!$V$21</definedName>
    <definedName name="PnC21_PurMatt">[1]Цены!$T$21</definedName>
    <definedName name="PnC21_Q">[1]Цены!$L$21</definedName>
    <definedName name="PnC21_Ql">[1]Цены!$N$21</definedName>
    <definedName name="PnC21_QproMatt">[1]Цены!$J$21</definedName>
    <definedName name="PnC21_Sat">[1]Цены!$AB$21</definedName>
    <definedName name="PnC21_Sf">[1]Цены!$H$21</definedName>
    <definedName name="PnC21_StBarhat">[1]Цены!$X$21</definedName>
    <definedName name="PnC21_Vel">[1]Цены!$P$21</definedName>
    <definedName name="PnC21_Zn04">[1]Цены!$AZ$21</definedName>
    <definedName name="PnC21_Zn045">[1]Цены!$BB$21</definedName>
    <definedName name="PnC21_Zn05">[1]Цены!$BD$21</definedName>
    <definedName name="PnC21_Zn055">[1]Цены!$BF$21</definedName>
    <definedName name="PnC21_Zn07">[1]Цены!$BH$21</definedName>
    <definedName name="PnC8_Atl">[1]Цены!$R$15</definedName>
    <definedName name="PnC8_dachPr">[1]Цены!$AR$15</definedName>
    <definedName name="PnC8_dachSk">[1]Цены!$AT$15</definedName>
    <definedName name="PnC8_Dr">[1]Цены!$Z$15</definedName>
    <definedName name="PnC8_Pe04">[1]Цены!$AL$15</definedName>
    <definedName name="PnC8_Pe045">[1]Цены!$AJ$15</definedName>
    <definedName name="PnC8_PEdp">[1]Цены!$AD$15</definedName>
    <definedName name="PnC8_PeMatt04">[1]Цены!$AP$15</definedName>
    <definedName name="PnC8_PeMatt045">[1]Цены!$AN$15</definedName>
    <definedName name="PnC8_Pt">[1]Цены!$F$15</definedName>
    <definedName name="PnC8_Ptdp">[1]Цены!$D$15</definedName>
    <definedName name="PnC8_PtRF">[1]Цены!$BN$15</definedName>
    <definedName name="PnC8_Pur">[1]Цены!$V$15</definedName>
    <definedName name="PnC8_PurMatt">[1]Цены!$T$15</definedName>
    <definedName name="PnC8_Q">[1]Цены!$L$15</definedName>
    <definedName name="PnC8_Ql">[1]Цены!$N$15</definedName>
    <definedName name="PnC8_QproMatt">[1]Цены!$J$15</definedName>
    <definedName name="PnC8_Sat">[1]Цены!$AB$15</definedName>
    <definedName name="PnC8_Sf">[1]Цены!$H$15</definedName>
    <definedName name="PnC8_StBarhat">[1]Цены!$X$15</definedName>
    <definedName name="PnC8_Vel">[1]Цены!$P$15</definedName>
    <definedName name="PnC8_Zn035">[1]Цены!$AX$15</definedName>
    <definedName name="PnC8_Zn04">[1]Цены!$AZ$15</definedName>
    <definedName name="PnC8_Zn045">[1]Цены!$BB$15</definedName>
    <definedName name="PnC8_Zn05">[1]Цены!$BD$15</definedName>
    <definedName name="PnC8_Zn055">[1]Цены!$BF$15</definedName>
    <definedName name="PnC8f_Atl">[1]Цены!$R$16</definedName>
    <definedName name="PnC8f_Dr">[1]Цены!$Z$16</definedName>
    <definedName name="PnC8f_Pe04">[1]Цены!$AL$16</definedName>
    <definedName name="PnC8f_Pe045">[1]Цены!$AJ$16</definedName>
    <definedName name="PnC8f_PEdp">[1]Цены!$AD$16</definedName>
    <definedName name="PnC8f_PeMatt04">[1]Цены!$AP$16</definedName>
    <definedName name="PnC8f_PeMatt045">[1]Цены!$AN$16</definedName>
    <definedName name="PnC8f_Pt">[1]Цены!$F$16</definedName>
    <definedName name="PnC8f_Ptdp">[1]Цены!$D$16</definedName>
    <definedName name="PnC8f_PtRF">[1]Цены!$BN$16</definedName>
    <definedName name="PnC8f_Pur">[1]Цены!$V$16</definedName>
    <definedName name="PnC8f_PurMatt">[1]Цены!$T$16</definedName>
    <definedName name="PnC8f_Q">[1]Цены!$L$16</definedName>
    <definedName name="PnC8f_Ql">[1]Цены!$N$16</definedName>
    <definedName name="PnC8f_QproMatt">[1]Цены!$J$16</definedName>
    <definedName name="PnC8f_Sat">[1]Цены!$AB$16</definedName>
    <definedName name="PnC8f_Sf">[1]Цены!$H$16</definedName>
    <definedName name="PnC8f_StBarhat">[1]Цены!$X$16</definedName>
    <definedName name="PnC8f_Vel">[1]Цены!$P$16</definedName>
    <definedName name="PnC8f_Zn045">[1]Цены!$BB$16</definedName>
    <definedName name="PnC8f_Zn05">[1]Цены!$BD$16</definedName>
    <definedName name="PnH60_Atl">[1]Цены!$R$23</definedName>
    <definedName name="PnH60_Pe07">[1]Цены!$AH$23</definedName>
    <definedName name="PnH60_Pe08">[1]Цены!$AF$23</definedName>
    <definedName name="PnH60_Pt">[1]Цены!$F$23</definedName>
    <definedName name="PnH60_Ptdp">[1]Цены!$D$23</definedName>
    <definedName name="PnH60_PtRF">[1]Цены!$BN$23</definedName>
    <definedName name="PnH60_Pur">[1]Цены!$V$23</definedName>
    <definedName name="PnH60_PurMatt">[1]Цены!$T$23</definedName>
    <definedName name="PnH60_Q">[1]Цены!$L$23</definedName>
    <definedName name="PnH60_Ql">[1]Цены!$N$23</definedName>
    <definedName name="PnH60_QproMatt">[1]Цены!$J$23</definedName>
    <definedName name="PnH60_Sat">[1]Цены!$AB$23</definedName>
    <definedName name="PnH60_Sf">[1]Цены!$H$23</definedName>
    <definedName name="PnH60_StBarhat">[1]Цены!$X$23</definedName>
    <definedName name="PnH60_Vel">[1]Цены!$P$23</definedName>
    <definedName name="PnH60_Zn05">[1]Цены!$BD$23</definedName>
    <definedName name="PnH60_Zn055">[1]Цены!$BF$23</definedName>
    <definedName name="PnH60_Zn07">[1]Цены!$BH$23</definedName>
    <definedName name="PnH60_Zn08">[1]Цены!$BJ$23</definedName>
    <definedName name="PnH60_Zn09">[1]Цены!$BL$23</definedName>
    <definedName name="PnH75_Atl">[1]Цены!$R$24</definedName>
    <definedName name="PnH75_Pe07">[1]Цены!$AH$24</definedName>
    <definedName name="PnH75_Pe08">[1]Цены!$AF$24</definedName>
    <definedName name="PnH75_Pur">[1]Цены!$V$24</definedName>
    <definedName name="PnH75_Q">[1]Цены!$L$24</definedName>
    <definedName name="PnH75_Ql">[1]Цены!$N$24</definedName>
    <definedName name="PnH75_Vel">[1]Цены!$P$24</definedName>
    <definedName name="PnH75_Zn07">[1]Цены!$BH$24</definedName>
    <definedName name="PnH75_Zn08">[1]Цены!$BJ$24</definedName>
    <definedName name="PnH75_Zn09">[1]Цены!$BL$24</definedName>
    <definedName name="PnHC35_Atl">[1]Цены!$R$22</definedName>
    <definedName name="PnHC35_Dr">[1]Цены!$Z$22</definedName>
    <definedName name="PnHC35_Pe07">[1]Цены!$AH$22</definedName>
    <definedName name="PnHC35_Pe08">[1]Цены!$AF$22</definedName>
    <definedName name="PnHC35_PEdp">[1]Цены!$AD$22</definedName>
    <definedName name="PnHC35_PeMatt04">[1]Цены!$AP$22</definedName>
    <definedName name="PnHC35_PeMatt045">[1]Цены!$AN$22</definedName>
    <definedName name="PnHC35_Pt">[1]Цены!$F$22</definedName>
    <definedName name="PnHC35_Ptdp">[1]Цены!$D$22</definedName>
    <definedName name="PnHC35_PtRF">[1]Цены!$BN$22</definedName>
    <definedName name="PnHC35_Pur">[1]Цены!$V$22</definedName>
    <definedName name="PnHC35_PurMatt">[1]Цены!$T$22</definedName>
    <definedName name="PnHC35_Q">[1]Цены!$L$22</definedName>
    <definedName name="PnHC35_Ql">[1]Цены!$N$22</definedName>
    <definedName name="PnHC35_QproMatt">[1]Цены!$J$22</definedName>
    <definedName name="PnHC35_Sat">[1]Цены!$AB$22</definedName>
    <definedName name="PnHC35_Sf">[1]Цены!$H$22</definedName>
    <definedName name="PnHC35_StBarhat">[1]Цены!$X$22</definedName>
    <definedName name="PnHC35_Vel">[1]Цены!$P$22</definedName>
    <definedName name="PnHC35_Zn05">[1]Цены!$BD$22</definedName>
    <definedName name="PnHC35_Zn055">[1]Цены!$BF$22</definedName>
    <definedName name="PnHC35_Zn07">[1]Цены!$BH$22</definedName>
    <definedName name="PnHC35_Zn08">[1]Цены!$BJ$22</definedName>
    <definedName name="_xlnm.Print_Area" localSheetId="2">'Доборные элементы кровли'!$A$10:$T$109</definedName>
    <definedName name="S_BHausNew_Atl">[1]Цены!$R$31</definedName>
    <definedName name="S_BHausNew_Dr">[1]Цены!$Z$31</definedName>
    <definedName name="S_BHausNew_Pe045">[1]Цены!$AJ$31</definedName>
    <definedName name="S_BHausNew_Pt">[1]Цены!$F$31</definedName>
    <definedName name="S_BHausNew_Ptdp">[1]Цены!$D$31</definedName>
    <definedName name="S_BHausNew_PtRF">[1]Цены!$BN$31</definedName>
    <definedName name="S_BHausNew_Pur">[1]Цены!$V$31</definedName>
    <definedName name="S_BHausNew_PurMatt">[1]Цены!$T$31</definedName>
    <definedName name="S_BHausNew_Q">[1]Цены!$L$31</definedName>
    <definedName name="S_BHausNew_Ql">[1]Цены!$N$31</definedName>
    <definedName name="S_BHausNew_QproMatt">[1]Цены!$J$31</definedName>
    <definedName name="S_BHausNew_Sat">[1]Цены!$AB$31</definedName>
    <definedName name="S_BHausNew_Sf">[1]Цены!$H$31</definedName>
    <definedName name="S_BHausNew_StBarhat">[1]Цены!$X$31</definedName>
    <definedName name="S_BHausNew_Vel">[1]Цены!$P$31</definedName>
    <definedName name="S_EBrus_Dr">[1]Цены!$Z$29</definedName>
    <definedName name="S_EBrus_Pe045">[1]Цены!$AJ$29</definedName>
    <definedName name="S_EBrus_PeMatt045">[1]Цены!$AN$29</definedName>
    <definedName name="S_EBrus_Pt">[1]Цены!$F$29</definedName>
    <definedName name="S_EBrus_Ptdp">[1]Цены!$D$29</definedName>
    <definedName name="S_EBrus_PtRF">[1]Цены!$BN$29</definedName>
    <definedName name="S_EBrus_Pur">[1]Цены!$V$29</definedName>
    <definedName name="S_EBrus_PurMatt">[1]Цены!$T$29</definedName>
    <definedName name="S_EBrus_Q">[1]Цены!$L$29</definedName>
    <definedName name="S_EBrus_QproMatt">[1]Цены!$J$29</definedName>
    <definedName name="S_EBrus_Sat">[1]Цены!$AB$29</definedName>
    <definedName name="S_EBrus_Sf">[1]Цены!$H$29</definedName>
    <definedName name="S_EBrus_StBarhat">[1]Цены!$X$29</definedName>
    <definedName name="S_EBrus_Vel">[1]Цены!$P$29</definedName>
    <definedName name="S_KDoska_Atl">[1]Цены!$R$27</definedName>
    <definedName name="S_KDoska_Dr">[1]Цены!$Z$27</definedName>
    <definedName name="S_KDoska_Pe045">[1]Цены!$AJ$27</definedName>
    <definedName name="S_KDoska_PeMatt045">[1]Цены!$AN$27</definedName>
    <definedName name="S_KDoska_Pt">[1]Цены!$F$27</definedName>
    <definedName name="S_KDoska_Ptdp">[1]Цены!$D$27</definedName>
    <definedName name="S_KDoska_PtRF">[1]Цены!$BN$27</definedName>
    <definedName name="S_KDoska_Pur">[1]Цены!$V$27</definedName>
    <definedName name="S_KDoska_PurMatt">[1]Цены!$T$27</definedName>
    <definedName name="S_KDoska_Q">[1]Цены!$L$27</definedName>
    <definedName name="S_KDoska_Ql">[1]Цены!$N$27</definedName>
    <definedName name="S_KDoska_QproMatt">[1]Цены!$J$27</definedName>
    <definedName name="S_KDoska_Sat">[1]Цены!$AB$27</definedName>
    <definedName name="S_KDoska_Sf">[1]Цены!$H$27</definedName>
    <definedName name="S_KDoska_StBarhat">[1]Цены!$X$27</definedName>
    <definedName name="S_KDoska_Vel">[1]Цены!$P$27</definedName>
    <definedName name="S_Vertikal_Atl">[1]Цены!$R$28</definedName>
    <definedName name="S_Vertikal_Dr">[1]Цены!$Z$28</definedName>
    <definedName name="S_Vertikal_Pe045">[1]Цены!$AJ$28</definedName>
    <definedName name="S_Vertikal_PeMatt045">[1]Цены!$AN$28</definedName>
    <definedName name="S_Vertikal_Pt">[1]Цены!$F$28</definedName>
    <definedName name="S_Vertikal_Ptdp">[1]Цены!$D$28</definedName>
    <definedName name="S_Vertikal_PtRF">[1]Цены!$BN$28</definedName>
    <definedName name="S_Vertikal_Pur">[1]Цены!$V$28</definedName>
    <definedName name="S_Vertikal_PurMatt">[1]Цены!$T$28</definedName>
    <definedName name="S_Vertikal_Q">[1]Цены!$L$28</definedName>
    <definedName name="S_Vertikal_Ql">[1]Цены!$N$28</definedName>
    <definedName name="S_Vertikal_QproMatt">[1]Цены!$J$28</definedName>
    <definedName name="S_Vertikal_Sat">[1]Цены!$AB$28</definedName>
    <definedName name="S_Vertikal_Sf">[1]Цены!$H$28</definedName>
    <definedName name="S_Vertikal_StBarhat">[1]Цены!$X$28</definedName>
    <definedName name="S_Vertikal_Vel">[1]Цены!$P$28</definedName>
    <definedName name="Shtaket_Kr_Pe04">[1]Цены!$AL$36</definedName>
    <definedName name="Shtaket_Kr_Pe045">[1]Цены!$AJ$36</definedName>
    <definedName name="Shtaket_Kr_PEdp">[1]Цены!$AD$36</definedName>
    <definedName name="Shtaket_Kr_Ptdp">[1]Цены!$D$36</definedName>
    <definedName name="Shtaket_Kr_Vel">[1]Цены!$P$36</definedName>
    <definedName name="Shtaket_Krf_Pe04">[1]Цены!$AL$38</definedName>
    <definedName name="Shtaket_Krf_Pe045">[1]Цены!$AJ$38</definedName>
    <definedName name="Shtaket_Krf_PEdp">[1]Цены!$AD$38</definedName>
    <definedName name="Shtaket_Krf_Ptdp">[1]Цены!$D$38</definedName>
    <definedName name="Shtaket_Krf_Vel">[1]Цены!$P$38</definedName>
    <definedName name="Shtaket_MP_Atl">[1]Цены!$R$34</definedName>
    <definedName name="Shtaket_MP_Dr">[1]Цены!$Z$34</definedName>
    <definedName name="Shtaket_MP_Pe04">[1]Цены!$AL$34</definedName>
    <definedName name="Shtaket_MP_Pe045">[1]Цены!$AJ$34</definedName>
    <definedName name="Shtaket_MP_PEdp">[1]Цены!$AD$34</definedName>
    <definedName name="Shtaket_MP_PeMatt04">[1]Цены!$AP$34</definedName>
    <definedName name="Shtaket_MP_PeMatt045">[1]Цены!$AN$34</definedName>
    <definedName name="Shtaket_MP_Pt">[1]Цены!$F$34</definedName>
    <definedName name="Shtaket_MP_Ptdp">[1]Цены!$D$34</definedName>
    <definedName name="Shtaket_MP_PtRF">[1]Цены!$BN$34</definedName>
    <definedName name="Shtaket_MP_Pur">[1]Цены!$V$34</definedName>
    <definedName name="Shtaket_MP_PurMatt">[1]Цены!$T$34</definedName>
    <definedName name="Shtaket_MP_Q">[1]Цены!$L$34</definedName>
    <definedName name="Shtaket_MP_Ql">[1]Цены!$N$34</definedName>
    <definedName name="Shtaket_MP_QproMatt">[1]Цены!$J$34</definedName>
    <definedName name="Shtaket_MP_Sat">[1]Цены!$AB$34</definedName>
    <definedName name="Shtaket_MP_Sf">[1]Цены!$H$34</definedName>
    <definedName name="Shtaket_MP_StBarhat">[1]Цены!$X$34</definedName>
    <definedName name="Shtaket_MP_Vel">[1]Цены!$P$34</definedName>
    <definedName name="Shtaket_MPf_Atl">[1]Цены!$R$35</definedName>
    <definedName name="Shtaket_MPf_Dr">[1]Цены!$Z$35</definedName>
    <definedName name="Shtaket_MPf_Pe04">[1]Цены!$AL$35</definedName>
    <definedName name="Shtaket_MPf_Pe045">[1]Цены!$AJ$35</definedName>
    <definedName name="Shtaket_MPf_PEdp">[1]Цены!$AD$35</definedName>
    <definedName name="Shtaket_MPf_PeMatt04">[1]Цены!$AP$35</definedName>
    <definedName name="Shtaket_MPf_PeMatt045">[1]Цены!$AN$35</definedName>
    <definedName name="Shtaket_MPf_Pt">[1]Цены!$F$35</definedName>
    <definedName name="Shtaket_MPf_Ptdp">[1]Цены!$D$35</definedName>
    <definedName name="Shtaket_MPf_PtRF">[1]Цены!$BN$35</definedName>
    <definedName name="Shtaket_MPf_Pur">[1]Цены!$V$35</definedName>
    <definedName name="Shtaket_MPf_PurMatt">[1]Цены!$T$35</definedName>
    <definedName name="Shtaket_MPf_Q">[1]Цены!$L$35</definedName>
    <definedName name="Shtaket_MPf_Ql">[1]Цены!$N$35</definedName>
    <definedName name="Shtaket_MPf_QproMatt">[1]Цены!$J$35</definedName>
    <definedName name="Shtaket_MPf_Sat">[1]Цены!$AB$35</definedName>
    <definedName name="Shtaket_MPf_Sf">[1]Цены!$H$35</definedName>
    <definedName name="Shtaket_MPf_StBarhat">[1]Цены!$X$35</definedName>
    <definedName name="Shtaket_MPf_Vel">[1]Цены!$P$35</definedName>
    <definedName name="Shtaket_Pr_Pe04">[1]Цены!$AL$37</definedName>
    <definedName name="Shtaket_Pr_Pe045">[1]Цены!$AJ$37</definedName>
    <definedName name="Shtaket_Pr_PEdp">[1]Цены!$AD$37</definedName>
    <definedName name="Shtaket_Pr_Ptdp">[1]Цены!$D$37</definedName>
    <definedName name="Shtaket_Pr_Vel">[1]Цены!$P$37</definedName>
    <definedName name="Shtaket_Prf_Pe04">[1]Цены!$AL$39</definedName>
    <definedName name="Shtaket_Prf_Pe045">[1]Цены!$AJ$39</definedName>
    <definedName name="Shtaket_Prf_PEdp">[1]Цены!$AD$39</definedName>
    <definedName name="Shtaket_Prf_Ptdp">[1]Цены!$D$39</definedName>
    <definedName name="Shtaket_Prf_Vel">[1]Цены!$P$39</definedName>
    <definedName name="ShtripsFalz_Atl">[1]Цены!$R$25</definedName>
    <definedName name="ShtripsFalz_Dr">[1]Цены!$Z$25</definedName>
    <definedName name="ShtripsFalz_Pe04">[1]Цены!$AL$25</definedName>
    <definedName name="ShtripsFalz_Pe045">[1]Цены!$AJ$25</definedName>
    <definedName name="ShtripsFalz_Pe07">[1]Цены!$AH$25</definedName>
    <definedName name="ShtripsFalz_Pe08">[1]Цены!$AF$25</definedName>
    <definedName name="ShtripsFalz_PEdp">[1]Цены!$AD$25</definedName>
    <definedName name="ShtripsFalz_PeMatt04">[1]Цены!$AP$25</definedName>
    <definedName name="ShtripsFalz_PeMatt045">[1]Цены!$AN$25</definedName>
    <definedName name="ShtripsFalz_Pt">[1]Цены!$F$25</definedName>
    <definedName name="ShtripsFalz_Ptdp">[1]Цены!$D$25</definedName>
    <definedName name="ShtripsFalz_PtRF">[1]Цены!$BN$25</definedName>
    <definedName name="ShtripsFalz_Pur">[1]Цены!$V$25</definedName>
    <definedName name="ShtripsFalz_PurMatt">[1]Цены!$T$25</definedName>
    <definedName name="ShtripsFalz_Q">[1]Цены!$L$25</definedName>
    <definedName name="ShtripsFalz_Ql">[1]Цены!$N$25</definedName>
    <definedName name="ShtripsFalz_QproMatt">[1]Цены!$J$25</definedName>
    <definedName name="ShtripsFalz_Sat">[1]Цены!$AB$25</definedName>
    <definedName name="ShtripsFalz_Sf">[1]Цены!$H$25</definedName>
    <definedName name="ShtripsFalz_StBarhat">[1]Цены!$X$25</definedName>
    <definedName name="ShtripsFalz_Vel">[1]Цены!$P$25</definedName>
    <definedName name="ShtripsFalz_Zn035">[1]Цены!$AX$25</definedName>
    <definedName name="ShtripsFalz_Zn04">[1]Цены!$AZ$25</definedName>
    <definedName name="ShtripsFalz_Zn045">[1]Цены!$BB$25</definedName>
    <definedName name="ShtripsFalz_Zn05">[1]Цены!$BD$25</definedName>
    <definedName name="ShtripsFalz_Zn055">[1]Цены!$BF$25</definedName>
    <definedName name="ShtripsFalz_Zn07">[1]Цены!$BH$25</definedName>
    <definedName name="ShtripsFalz_Zn08">[1]Цены!$BJ$25</definedName>
    <definedName name="ShtripsFalz_Zn09">[1]Цены!$BL$25</definedName>
    <definedName name="Sofit_Atl">[1]Цены!$R$11</definedName>
    <definedName name="Sofit_Dr">[1]Цены!$Z$11</definedName>
    <definedName name="Sofit_Pe045">[1]Цены!$AJ$11</definedName>
    <definedName name="Sofit_PeMatt045">[1]Цены!$AN$11</definedName>
    <definedName name="Sofit_Pt">[1]Цены!$F$11</definedName>
    <definedName name="Sofit_PtRF">[1]Цены!$BN$11</definedName>
    <definedName name="Sofit_Pur">[1]Цены!$V$11</definedName>
    <definedName name="Sofit_PurMatt">[1]Цены!$T$11</definedName>
    <definedName name="Sofit_Q">[1]Цены!$L$11</definedName>
    <definedName name="Sofit_Ql">[1]Цены!$N$11</definedName>
    <definedName name="Sofit_QproMatt">[1]Цены!$J$11</definedName>
    <definedName name="Sofit_Sat">[1]Цены!$AB$11</definedName>
    <definedName name="Sofit_Sf">[1]Цены!$H$11</definedName>
    <definedName name="Sofit_StBarhat">[1]Цены!$X$11</definedName>
    <definedName name="Sofit_Vel">[1]Цены!$P$11</definedName>
  </definedNames>
  <calcPr calcId="150001" refMode="R1C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48" l="1"/>
  <c r="K22" i="48"/>
  <c r="K21" i="48"/>
  <c r="K20" i="48"/>
  <c r="K19" i="48"/>
  <c r="K18" i="48"/>
  <c r="K17" i="48"/>
  <c r="K16" i="48"/>
  <c r="K15" i="48"/>
  <c r="K14" i="48"/>
  <c r="K13" i="48"/>
  <c r="K11" i="48"/>
  <c r="K10" i="48"/>
  <c r="K8" i="48"/>
  <c r="T91" i="44"/>
  <c r="S91" i="44"/>
  <c r="R91" i="44"/>
  <c r="Q91" i="44"/>
  <c r="P91" i="44"/>
  <c r="O91" i="44"/>
  <c r="N91" i="44"/>
  <c r="M91" i="44"/>
  <c r="L91" i="44"/>
  <c r="K91" i="44"/>
  <c r="J91" i="44"/>
  <c r="I91" i="44"/>
  <c r="H91" i="44"/>
  <c r="G91" i="44"/>
  <c r="F91" i="44"/>
  <c r="E91" i="44"/>
  <c r="T90" i="44"/>
  <c r="S90" i="44"/>
  <c r="R90" i="44"/>
  <c r="Q90" i="44"/>
  <c r="P90" i="44"/>
  <c r="O90" i="44"/>
  <c r="N90" i="44"/>
  <c r="M90" i="44"/>
  <c r="L90" i="44"/>
  <c r="K90" i="44"/>
  <c r="J90" i="44"/>
  <c r="I90" i="44"/>
  <c r="H90" i="44"/>
  <c r="G90" i="44"/>
  <c r="F90" i="44"/>
  <c r="E90" i="44"/>
  <c r="T89" i="44"/>
  <c r="S89" i="44"/>
  <c r="R89" i="44"/>
  <c r="Q89" i="44"/>
  <c r="P89" i="44"/>
  <c r="O89" i="44"/>
  <c r="N89" i="44"/>
  <c r="M89" i="44"/>
  <c r="L89" i="44"/>
  <c r="K89" i="44"/>
  <c r="J89" i="44"/>
  <c r="I89" i="44"/>
  <c r="H89" i="44"/>
  <c r="G89" i="44"/>
  <c r="F89" i="44"/>
  <c r="E89" i="44"/>
  <c r="T88" i="44"/>
  <c r="S88" i="44"/>
  <c r="R88" i="44"/>
  <c r="Q88" i="44"/>
  <c r="P88" i="44"/>
  <c r="O88" i="44"/>
  <c r="N88" i="44"/>
  <c r="M88" i="44"/>
  <c r="L88" i="44"/>
  <c r="K88" i="44"/>
  <c r="J88" i="44"/>
  <c r="I88" i="44"/>
  <c r="H88" i="44"/>
  <c r="G88" i="44"/>
  <c r="F88" i="44"/>
  <c r="E88" i="44"/>
  <c r="T87" i="44"/>
  <c r="S87" i="44"/>
  <c r="R87" i="44"/>
  <c r="Q87" i="44"/>
  <c r="P87" i="44"/>
  <c r="O87" i="44"/>
  <c r="N87" i="44"/>
  <c r="M87" i="44"/>
  <c r="L87" i="44"/>
  <c r="K87" i="44"/>
  <c r="J87" i="44"/>
  <c r="I87" i="44"/>
  <c r="H87" i="44"/>
  <c r="G87" i="44"/>
  <c r="F87" i="44"/>
  <c r="E87" i="44"/>
  <c r="T86" i="44"/>
  <c r="S86" i="44"/>
  <c r="R86" i="44"/>
  <c r="Q86" i="44"/>
  <c r="P86" i="44"/>
  <c r="O86" i="44"/>
  <c r="N86" i="44"/>
  <c r="M86" i="44"/>
  <c r="L86" i="44"/>
  <c r="K86" i="44"/>
  <c r="J86" i="44"/>
  <c r="I86" i="44"/>
  <c r="H86" i="44"/>
  <c r="G86" i="44"/>
  <c r="F86" i="44"/>
  <c r="E86" i="44"/>
  <c r="T85" i="44"/>
  <c r="S85" i="44"/>
  <c r="R85" i="44"/>
  <c r="Q85" i="44"/>
  <c r="P85" i="44"/>
  <c r="O85" i="44"/>
  <c r="N85" i="44"/>
  <c r="M85" i="44"/>
  <c r="L85" i="44"/>
  <c r="K85" i="44"/>
  <c r="J85" i="44"/>
  <c r="I85" i="44"/>
  <c r="H85" i="44"/>
  <c r="G85" i="44"/>
  <c r="F85" i="44"/>
  <c r="E85" i="44"/>
  <c r="T84" i="44"/>
  <c r="S84" i="44"/>
  <c r="R84" i="44"/>
  <c r="Q84" i="44"/>
  <c r="P84" i="44"/>
  <c r="O84" i="44"/>
  <c r="N84" i="44"/>
  <c r="M84" i="44"/>
  <c r="L84" i="44"/>
  <c r="K84" i="44"/>
  <c r="J84" i="44"/>
  <c r="I84" i="44"/>
  <c r="H84" i="44"/>
  <c r="G84" i="44"/>
  <c r="F84" i="44"/>
  <c r="E84" i="44"/>
  <c r="T83" i="44"/>
  <c r="S83" i="44"/>
  <c r="R83" i="44"/>
  <c r="Q83" i="44"/>
  <c r="P83" i="44"/>
  <c r="O83" i="44"/>
  <c r="N83" i="44"/>
  <c r="M83" i="44"/>
  <c r="L83" i="44"/>
  <c r="K83" i="44"/>
  <c r="J83" i="44"/>
  <c r="I83" i="44"/>
  <c r="H83" i="44"/>
  <c r="G83" i="44"/>
  <c r="F83" i="44"/>
  <c r="E83" i="44"/>
  <c r="T82" i="44"/>
  <c r="S82" i="44"/>
  <c r="R82" i="44"/>
  <c r="Q82" i="44"/>
  <c r="P82" i="44"/>
  <c r="O82" i="44"/>
  <c r="N82" i="44"/>
  <c r="M82" i="44"/>
  <c r="L82" i="44"/>
  <c r="K82" i="44"/>
  <c r="J82" i="44"/>
  <c r="I82" i="44"/>
  <c r="H82" i="44"/>
  <c r="G82" i="44"/>
  <c r="F82" i="44"/>
  <c r="E82" i="44"/>
  <c r="T80" i="44"/>
  <c r="S80" i="44"/>
  <c r="R80" i="44"/>
  <c r="Q80" i="44"/>
  <c r="P80" i="44"/>
  <c r="O80" i="44"/>
  <c r="N80" i="44"/>
  <c r="M80" i="44"/>
  <c r="L80" i="44"/>
  <c r="K80" i="44"/>
  <c r="J80" i="44"/>
  <c r="I80" i="44"/>
  <c r="H80" i="44"/>
  <c r="G80" i="44"/>
  <c r="F80" i="44"/>
  <c r="E80" i="44"/>
  <c r="T79" i="44"/>
  <c r="S79" i="44"/>
  <c r="R79" i="44"/>
  <c r="Q79" i="44"/>
  <c r="P79" i="44"/>
  <c r="O79" i="44"/>
  <c r="N79" i="44"/>
  <c r="M79" i="44"/>
  <c r="L79" i="44"/>
  <c r="K79" i="44"/>
  <c r="J79" i="44"/>
  <c r="I79" i="44"/>
  <c r="H79" i="44"/>
  <c r="G79" i="44"/>
  <c r="F79" i="44"/>
  <c r="E79" i="44"/>
  <c r="T78" i="44"/>
  <c r="S78" i="44"/>
  <c r="R78" i="44"/>
  <c r="Q78" i="44"/>
  <c r="P78" i="44"/>
  <c r="O78" i="44"/>
  <c r="N78" i="44"/>
  <c r="M78" i="44"/>
  <c r="L78" i="44"/>
  <c r="K78" i="44"/>
  <c r="J78" i="44"/>
  <c r="I78" i="44"/>
  <c r="H78" i="44"/>
  <c r="G78" i="44"/>
  <c r="F78" i="44"/>
  <c r="E78" i="44"/>
  <c r="T77" i="44"/>
  <c r="S77" i="44"/>
  <c r="R77" i="44"/>
  <c r="Q77" i="44"/>
  <c r="P77" i="44"/>
  <c r="O77" i="44"/>
  <c r="N77" i="44"/>
  <c r="M77" i="44"/>
  <c r="L77" i="44"/>
  <c r="K77" i="44"/>
  <c r="J77" i="44"/>
  <c r="I77" i="44"/>
  <c r="H77" i="44"/>
  <c r="G77" i="44"/>
  <c r="F77" i="44"/>
  <c r="E77" i="44"/>
  <c r="T76" i="44"/>
  <c r="S76" i="44"/>
  <c r="R76" i="44"/>
  <c r="Q76" i="44"/>
  <c r="P76" i="44"/>
  <c r="O76" i="44"/>
  <c r="N76" i="44"/>
  <c r="M76" i="44"/>
  <c r="L76" i="44"/>
  <c r="K76" i="44"/>
  <c r="J76" i="44"/>
  <c r="I76" i="44"/>
  <c r="H76" i="44"/>
  <c r="G76" i="44"/>
  <c r="F76" i="44"/>
  <c r="E76" i="44"/>
  <c r="T75" i="44"/>
  <c r="S75" i="44"/>
  <c r="R75" i="44"/>
  <c r="Q75" i="44"/>
  <c r="P75" i="44"/>
  <c r="O75" i="44"/>
  <c r="N75" i="44"/>
  <c r="M75" i="44"/>
  <c r="L75" i="44"/>
  <c r="K75" i="44"/>
  <c r="J75" i="44"/>
  <c r="I75" i="44"/>
  <c r="H75" i="44"/>
  <c r="G75" i="44"/>
  <c r="F75" i="44"/>
  <c r="E75" i="44"/>
  <c r="T74" i="44"/>
  <c r="S74" i="44"/>
  <c r="R74" i="44"/>
  <c r="Q74" i="44"/>
  <c r="P74" i="44"/>
  <c r="O74" i="44"/>
  <c r="N74" i="44"/>
  <c r="M74" i="44"/>
  <c r="L74" i="44"/>
  <c r="K74" i="44"/>
  <c r="J74" i="44"/>
  <c r="I74" i="44"/>
  <c r="H74" i="44"/>
  <c r="G74" i="44"/>
  <c r="F74" i="44"/>
  <c r="E74" i="44"/>
  <c r="T72" i="44"/>
  <c r="S72" i="44"/>
  <c r="R72" i="44"/>
  <c r="Q72" i="44"/>
  <c r="P72" i="44"/>
  <c r="O72" i="44"/>
  <c r="N72" i="44"/>
  <c r="M72" i="44"/>
  <c r="L72" i="44"/>
  <c r="K72" i="44"/>
  <c r="J72" i="44"/>
  <c r="I72" i="44"/>
  <c r="H72" i="44"/>
  <c r="G72" i="44"/>
  <c r="F72" i="44"/>
  <c r="E72" i="44"/>
  <c r="T71" i="44"/>
  <c r="S71" i="44"/>
  <c r="R71" i="44"/>
  <c r="Q71" i="44"/>
  <c r="P71" i="44"/>
  <c r="O71" i="44"/>
  <c r="N71" i="44"/>
  <c r="M71" i="44"/>
  <c r="L71" i="44"/>
  <c r="K71" i="44"/>
  <c r="J71" i="44"/>
  <c r="I71" i="44"/>
  <c r="H71" i="44"/>
  <c r="G71" i="44"/>
  <c r="F71" i="44"/>
  <c r="E71" i="44"/>
  <c r="T70" i="44"/>
  <c r="S70" i="44"/>
  <c r="R70" i="44"/>
  <c r="Q70" i="44"/>
  <c r="P70" i="44"/>
  <c r="O70" i="44"/>
  <c r="N70" i="44"/>
  <c r="M70" i="44"/>
  <c r="L70" i="44"/>
  <c r="K70" i="44"/>
  <c r="J70" i="44"/>
  <c r="I70" i="44"/>
  <c r="H70" i="44"/>
  <c r="G70" i="44"/>
  <c r="F70" i="44"/>
  <c r="E70" i="44"/>
  <c r="T69" i="44"/>
  <c r="S69" i="44"/>
  <c r="R69" i="44"/>
  <c r="Q69" i="44"/>
  <c r="P69" i="44"/>
  <c r="O69" i="44"/>
  <c r="N69" i="44"/>
  <c r="M69" i="44"/>
  <c r="L69" i="44"/>
  <c r="K69" i="44"/>
  <c r="J69" i="44"/>
  <c r="I69" i="44"/>
  <c r="H69" i="44"/>
  <c r="G69" i="44"/>
  <c r="F69" i="44"/>
  <c r="E69" i="44"/>
  <c r="T68" i="44"/>
  <c r="S68" i="44"/>
  <c r="R68" i="44"/>
  <c r="Q68" i="44"/>
  <c r="P68" i="44"/>
  <c r="O68" i="44"/>
  <c r="N68" i="44"/>
  <c r="M68" i="44"/>
  <c r="L68" i="44"/>
  <c r="K68" i="44"/>
  <c r="J68" i="44"/>
  <c r="I68" i="44"/>
  <c r="H68" i="44"/>
  <c r="G68" i="44"/>
  <c r="F68" i="44"/>
  <c r="E68" i="44"/>
  <c r="T67" i="44"/>
  <c r="S67" i="44"/>
  <c r="R67" i="44"/>
  <c r="Q67" i="44"/>
  <c r="P67" i="44"/>
  <c r="O67" i="44"/>
  <c r="N67" i="44"/>
  <c r="M67" i="44"/>
  <c r="L67" i="44"/>
  <c r="K67" i="44"/>
  <c r="J67" i="44"/>
  <c r="I67" i="44"/>
  <c r="H67" i="44"/>
  <c r="G67" i="44"/>
  <c r="F67" i="44"/>
  <c r="E67" i="44"/>
  <c r="T66" i="44"/>
  <c r="S66" i="44"/>
  <c r="R66" i="44"/>
  <c r="Q66" i="44"/>
  <c r="P66" i="44"/>
  <c r="O66" i="44"/>
  <c r="N66" i="44"/>
  <c r="M66" i="44"/>
  <c r="L66" i="44"/>
  <c r="K66" i="44"/>
  <c r="J66" i="44"/>
  <c r="I66" i="44"/>
  <c r="H66" i="44"/>
  <c r="G66" i="44"/>
  <c r="F66" i="44"/>
  <c r="E66" i="44"/>
  <c r="T65" i="44"/>
  <c r="S65" i="44"/>
  <c r="R65" i="44"/>
  <c r="Q65" i="44"/>
  <c r="P65" i="44"/>
  <c r="O65" i="44"/>
  <c r="N65" i="44"/>
  <c r="M65" i="44"/>
  <c r="L65" i="44"/>
  <c r="K65" i="44"/>
  <c r="J65" i="44"/>
  <c r="I65" i="44"/>
  <c r="H65" i="44"/>
  <c r="G65" i="44"/>
  <c r="F65" i="44"/>
  <c r="E65" i="44"/>
  <c r="T97" i="44"/>
  <c r="S97" i="44"/>
  <c r="R97" i="44"/>
  <c r="Q97" i="44"/>
  <c r="P97" i="44"/>
  <c r="O97" i="44"/>
  <c r="N97" i="44"/>
  <c r="M97" i="44"/>
  <c r="L97" i="44"/>
  <c r="K97" i="44"/>
  <c r="J97" i="44"/>
  <c r="I97" i="44"/>
  <c r="H97" i="44"/>
  <c r="G97" i="44"/>
  <c r="F97" i="44"/>
  <c r="E97" i="44"/>
  <c r="T63" i="44"/>
  <c r="S63" i="44"/>
  <c r="R63" i="44"/>
  <c r="Q63" i="44"/>
  <c r="P63" i="44"/>
  <c r="O63" i="44"/>
  <c r="N63" i="44"/>
  <c r="M63" i="44"/>
  <c r="L63" i="44"/>
  <c r="K63" i="44"/>
  <c r="J63" i="44"/>
  <c r="I63" i="44"/>
  <c r="H63" i="44"/>
  <c r="G63" i="44"/>
  <c r="F63" i="44"/>
  <c r="E63" i="44"/>
  <c r="T62" i="44"/>
  <c r="S62" i="44"/>
  <c r="R62" i="44"/>
  <c r="Q62" i="44"/>
  <c r="P62" i="44"/>
  <c r="O62" i="44"/>
  <c r="N62" i="44"/>
  <c r="M62" i="44"/>
  <c r="L62" i="44"/>
  <c r="K62" i="44"/>
  <c r="J62" i="44"/>
  <c r="I62" i="44"/>
  <c r="H62" i="44"/>
  <c r="G62" i="44"/>
  <c r="F62" i="44"/>
  <c r="E62" i="44"/>
  <c r="T61" i="44"/>
  <c r="S61" i="44"/>
  <c r="R61" i="44"/>
  <c r="Q61" i="44"/>
  <c r="P61" i="44"/>
  <c r="O61" i="44"/>
  <c r="N61" i="44"/>
  <c r="M61" i="44"/>
  <c r="L61" i="44"/>
  <c r="K61" i="44"/>
  <c r="J61" i="44"/>
  <c r="I61" i="44"/>
  <c r="H61" i="44"/>
  <c r="G61" i="44"/>
  <c r="F61" i="44"/>
  <c r="E61" i="44"/>
  <c r="T60" i="44"/>
  <c r="S60" i="44"/>
  <c r="R60" i="44"/>
  <c r="Q60" i="44"/>
  <c r="P60" i="44"/>
  <c r="O60" i="44"/>
  <c r="N60" i="44"/>
  <c r="M60" i="44"/>
  <c r="L60" i="44"/>
  <c r="K60" i="44"/>
  <c r="J60" i="44"/>
  <c r="I60" i="44"/>
  <c r="H60" i="44"/>
  <c r="G60" i="44"/>
  <c r="F60" i="44"/>
  <c r="E60" i="44"/>
  <c r="T59" i="44"/>
  <c r="S59" i="44"/>
  <c r="R59" i="44"/>
  <c r="Q59" i="44"/>
  <c r="P59" i="44"/>
  <c r="O59" i="44"/>
  <c r="N59" i="44"/>
  <c r="M59" i="44"/>
  <c r="L59" i="44"/>
  <c r="K59" i="44"/>
  <c r="J59" i="44"/>
  <c r="I59" i="44"/>
  <c r="H59" i="44"/>
  <c r="G59" i="44"/>
  <c r="F59" i="44"/>
  <c r="E59" i="44"/>
  <c r="T58" i="44"/>
  <c r="S58" i="44"/>
  <c r="R58" i="44"/>
  <c r="Q58" i="44"/>
  <c r="P58" i="44"/>
  <c r="O58" i="44"/>
  <c r="N58" i="44"/>
  <c r="M58" i="44"/>
  <c r="L58" i="44"/>
  <c r="K58" i="44"/>
  <c r="J58" i="44"/>
  <c r="I58" i="44"/>
  <c r="H58" i="44"/>
  <c r="G58" i="44"/>
  <c r="F58" i="44"/>
  <c r="E58" i="44"/>
  <c r="T57" i="44"/>
  <c r="S57" i="44"/>
  <c r="R57" i="44"/>
  <c r="Q57" i="44"/>
  <c r="P57" i="44"/>
  <c r="O57" i="44"/>
  <c r="N57" i="44"/>
  <c r="M57" i="44"/>
  <c r="L57" i="44"/>
  <c r="K57" i="44"/>
  <c r="J57" i="44"/>
  <c r="I57" i="44"/>
  <c r="H57" i="44"/>
  <c r="G57" i="44"/>
  <c r="F57" i="44"/>
  <c r="E57" i="44"/>
  <c r="T56" i="44"/>
  <c r="S56" i="44"/>
  <c r="R56" i="44"/>
  <c r="Q56" i="44"/>
  <c r="P56" i="44"/>
  <c r="O56" i="44"/>
  <c r="N56" i="44"/>
  <c r="M56" i="44"/>
  <c r="L56" i="44"/>
  <c r="K56" i="44"/>
  <c r="J56" i="44"/>
  <c r="I56" i="44"/>
  <c r="H56" i="44"/>
  <c r="G56" i="44"/>
  <c r="F56" i="44"/>
  <c r="E56" i="44"/>
  <c r="T55" i="44"/>
  <c r="S55" i="44"/>
  <c r="R55" i="44"/>
  <c r="Q55" i="44"/>
  <c r="P55" i="44"/>
  <c r="O55" i="44"/>
  <c r="N55" i="44"/>
  <c r="M55" i="44"/>
  <c r="L55" i="44"/>
  <c r="K55" i="44"/>
  <c r="J55" i="44"/>
  <c r="I55" i="44"/>
  <c r="H55" i="44"/>
  <c r="G55" i="44"/>
  <c r="F55" i="44"/>
  <c r="E55" i="44"/>
  <c r="T54" i="44"/>
  <c r="S54" i="44"/>
  <c r="R54" i="44"/>
  <c r="Q54" i="44"/>
  <c r="P54" i="44"/>
  <c r="O54" i="44"/>
  <c r="N54" i="44"/>
  <c r="M54" i="44"/>
  <c r="L54" i="44"/>
  <c r="K54" i="44"/>
  <c r="J54" i="44"/>
  <c r="I54" i="44"/>
  <c r="H54" i="44"/>
  <c r="G54" i="44"/>
  <c r="F54" i="44"/>
  <c r="E54" i="44"/>
  <c r="T53" i="44"/>
  <c r="S53" i="44"/>
  <c r="R53" i="44"/>
  <c r="Q53" i="44"/>
  <c r="P53" i="44"/>
  <c r="O53" i="44"/>
  <c r="N53" i="44"/>
  <c r="M53" i="44"/>
  <c r="L53" i="44"/>
  <c r="K53" i="44"/>
  <c r="J53" i="44"/>
  <c r="I53" i="44"/>
  <c r="H53" i="44"/>
  <c r="G53" i="44"/>
  <c r="F53" i="44"/>
  <c r="E53" i="44"/>
  <c r="T52" i="44"/>
  <c r="S52" i="44"/>
  <c r="R52" i="44"/>
  <c r="Q52" i="44"/>
  <c r="P52" i="44"/>
  <c r="O52" i="44"/>
  <c r="N52" i="44"/>
  <c r="M52" i="44"/>
  <c r="L52" i="44"/>
  <c r="K52" i="44"/>
  <c r="J52" i="44"/>
  <c r="I52" i="44"/>
  <c r="H52" i="44"/>
  <c r="G52" i="44"/>
  <c r="F52" i="44"/>
  <c r="E52" i="44"/>
  <c r="T51" i="44"/>
  <c r="S51" i="44"/>
  <c r="R51" i="44"/>
  <c r="Q51" i="44"/>
  <c r="P51" i="44"/>
  <c r="O51" i="44"/>
  <c r="N51" i="44"/>
  <c r="M51" i="44"/>
  <c r="L51" i="44"/>
  <c r="K51" i="44"/>
  <c r="J51" i="44"/>
  <c r="I51" i="44"/>
  <c r="H51" i="44"/>
  <c r="G51" i="44"/>
  <c r="F51" i="44"/>
  <c r="E51" i="44"/>
  <c r="T50" i="44"/>
  <c r="S50" i="44"/>
  <c r="R50" i="44"/>
  <c r="Q50" i="44"/>
  <c r="P50" i="44"/>
  <c r="O50" i="44"/>
  <c r="N50" i="44"/>
  <c r="M50" i="44"/>
  <c r="L50" i="44"/>
  <c r="K50" i="44"/>
  <c r="J50" i="44"/>
  <c r="I50" i="44"/>
  <c r="H50" i="44"/>
  <c r="G50" i="44"/>
  <c r="F50" i="44"/>
  <c r="E50" i="44"/>
  <c r="T49" i="44"/>
  <c r="S49" i="44"/>
  <c r="R49" i="44"/>
  <c r="Q49" i="44"/>
  <c r="P49" i="44"/>
  <c r="O49" i="44"/>
  <c r="N49" i="44"/>
  <c r="M49" i="44"/>
  <c r="L49" i="44"/>
  <c r="K49" i="44"/>
  <c r="J49" i="44"/>
  <c r="I49" i="44"/>
  <c r="H49" i="44"/>
  <c r="G49" i="44"/>
  <c r="F49" i="44"/>
  <c r="E49" i="44"/>
  <c r="T48" i="44"/>
  <c r="S48" i="44"/>
  <c r="R48" i="44"/>
  <c r="Q48" i="44"/>
  <c r="P48" i="44"/>
  <c r="O48" i="44"/>
  <c r="N48" i="44"/>
  <c r="M48" i="44"/>
  <c r="L48" i="44"/>
  <c r="K48" i="44"/>
  <c r="J48" i="44"/>
  <c r="I48" i="44"/>
  <c r="H48" i="44"/>
  <c r="G48" i="44"/>
  <c r="F48" i="44"/>
  <c r="E48" i="44"/>
  <c r="T47" i="44"/>
  <c r="S47" i="44"/>
  <c r="R47" i="44"/>
  <c r="Q47" i="44"/>
  <c r="P47" i="44"/>
  <c r="O47" i="44"/>
  <c r="N47" i="44"/>
  <c r="M47" i="44"/>
  <c r="L47" i="44"/>
  <c r="K47" i="44"/>
  <c r="J47" i="44"/>
  <c r="I47" i="44"/>
  <c r="H47" i="44"/>
  <c r="G47" i="44"/>
  <c r="F47" i="44"/>
  <c r="E47" i="44"/>
  <c r="T46" i="44"/>
  <c r="S46" i="44"/>
  <c r="R46" i="44"/>
  <c r="Q46" i="44"/>
  <c r="P46" i="44"/>
  <c r="O46" i="44"/>
  <c r="N46" i="44"/>
  <c r="M46" i="44"/>
  <c r="L46" i="44"/>
  <c r="K46" i="44"/>
  <c r="J46" i="44"/>
  <c r="I46" i="44"/>
  <c r="H46" i="44"/>
  <c r="G46" i="44"/>
  <c r="F46" i="44"/>
  <c r="E46" i="44"/>
  <c r="T45" i="44"/>
  <c r="S45" i="44"/>
  <c r="R45" i="44"/>
  <c r="Q45" i="44"/>
  <c r="P45" i="44"/>
  <c r="O45" i="44"/>
  <c r="N45" i="44"/>
  <c r="M45" i="44"/>
  <c r="L45" i="44"/>
  <c r="K45" i="44"/>
  <c r="J45" i="44"/>
  <c r="I45" i="44"/>
  <c r="H45" i="44"/>
  <c r="G45" i="44"/>
  <c r="F45" i="44"/>
  <c r="E45" i="44"/>
  <c r="T44" i="44"/>
  <c r="S44" i="44"/>
  <c r="R44" i="44"/>
  <c r="Q44" i="44"/>
  <c r="P44" i="44"/>
  <c r="O44" i="44"/>
  <c r="N44" i="44"/>
  <c r="M44" i="44"/>
  <c r="L44" i="44"/>
  <c r="K44" i="44"/>
  <c r="J44" i="44"/>
  <c r="I44" i="44"/>
  <c r="H44" i="44"/>
  <c r="G44" i="44"/>
  <c r="F44" i="44"/>
  <c r="E44" i="44"/>
  <c r="T43" i="44"/>
  <c r="S43" i="44"/>
  <c r="R43" i="44"/>
  <c r="Q43" i="44"/>
  <c r="P43" i="44"/>
  <c r="O43" i="44"/>
  <c r="N43" i="44"/>
  <c r="M43" i="44"/>
  <c r="L43" i="44"/>
  <c r="K43" i="44"/>
  <c r="J43" i="44"/>
  <c r="I43" i="44"/>
  <c r="H43" i="44"/>
  <c r="G43" i="44"/>
  <c r="F43" i="44"/>
  <c r="E43" i="44"/>
  <c r="T42" i="44"/>
  <c r="S42" i="44"/>
  <c r="R42" i="44"/>
  <c r="Q42" i="44"/>
  <c r="P42" i="44"/>
  <c r="O42" i="44"/>
  <c r="N42" i="44"/>
  <c r="M42" i="44"/>
  <c r="L42" i="44"/>
  <c r="K42" i="44"/>
  <c r="J42" i="44"/>
  <c r="I42" i="44"/>
  <c r="H42" i="44"/>
  <c r="G42" i="44"/>
  <c r="F42" i="44"/>
  <c r="E42" i="44"/>
  <c r="T41" i="44"/>
  <c r="S41" i="44"/>
  <c r="R41" i="44"/>
  <c r="Q41" i="44"/>
  <c r="P41" i="44"/>
  <c r="O41" i="44"/>
  <c r="N41" i="44"/>
  <c r="M41" i="44"/>
  <c r="L41" i="44"/>
  <c r="K41" i="44"/>
  <c r="J41" i="44"/>
  <c r="I41" i="44"/>
  <c r="H41" i="44"/>
  <c r="G41" i="44"/>
  <c r="F41" i="44"/>
  <c r="E41" i="44"/>
  <c r="T40" i="44"/>
  <c r="S40" i="44"/>
  <c r="R40" i="44"/>
  <c r="Q40" i="44"/>
  <c r="P40" i="44"/>
  <c r="O40" i="44"/>
  <c r="N40" i="44"/>
  <c r="M40" i="44"/>
  <c r="L40" i="44"/>
  <c r="K40" i="44"/>
  <c r="J40" i="44"/>
  <c r="I40" i="44"/>
  <c r="H40" i="44"/>
  <c r="G40" i="44"/>
  <c r="F40" i="44"/>
  <c r="E40" i="44"/>
  <c r="T39" i="44"/>
  <c r="S39" i="44"/>
  <c r="R39" i="44"/>
  <c r="Q39" i="44"/>
  <c r="P39" i="44"/>
  <c r="O39" i="44"/>
  <c r="N39" i="44"/>
  <c r="M39" i="44"/>
  <c r="L39" i="44"/>
  <c r="K39" i="44"/>
  <c r="J39" i="44"/>
  <c r="I39" i="44"/>
  <c r="H39" i="44"/>
  <c r="G39" i="44"/>
  <c r="F39" i="44"/>
  <c r="E39" i="44"/>
  <c r="T38" i="44"/>
  <c r="S38" i="44"/>
  <c r="R38" i="44"/>
  <c r="Q38" i="44"/>
  <c r="P38" i="44"/>
  <c r="O38" i="44"/>
  <c r="N38" i="44"/>
  <c r="M38" i="44"/>
  <c r="L38" i="44"/>
  <c r="K38" i="44"/>
  <c r="J38" i="44"/>
  <c r="I38" i="44"/>
  <c r="H38" i="44"/>
  <c r="G38" i="44"/>
  <c r="F38" i="44"/>
  <c r="E38" i="44"/>
  <c r="T37" i="44"/>
  <c r="S37" i="44"/>
  <c r="R37" i="44"/>
  <c r="Q37" i="44"/>
  <c r="P37" i="44"/>
  <c r="O37" i="44"/>
  <c r="N37" i="44"/>
  <c r="M37" i="44"/>
  <c r="L37" i="44"/>
  <c r="K37" i="44"/>
  <c r="J37" i="44"/>
  <c r="I37" i="44"/>
  <c r="H37" i="44"/>
  <c r="G37" i="44"/>
  <c r="F37" i="44"/>
  <c r="E37" i="44"/>
  <c r="T36" i="44"/>
  <c r="S36" i="44"/>
  <c r="R36" i="44"/>
  <c r="Q36" i="44"/>
  <c r="P36" i="44"/>
  <c r="O36" i="44"/>
  <c r="N36" i="44"/>
  <c r="M36" i="44"/>
  <c r="L36" i="44"/>
  <c r="K36" i="44"/>
  <c r="J36" i="44"/>
  <c r="I36" i="44"/>
  <c r="H36" i="44"/>
  <c r="G36" i="44"/>
  <c r="F36" i="44"/>
  <c r="E36" i="44"/>
  <c r="T35" i="44"/>
  <c r="S35" i="44"/>
  <c r="R35" i="44"/>
  <c r="Q35" i="44"/>
  <c r="P35" i="44"/>
  <c r="O35" i="44"/>
  <c r="N35" i="44"/>
  <c r="M35" i="44"/>
  <c r="L35" i="44"/>
  <c r="K35" i="44"/>
  <c r="J35" i="44"/>
  <c r="I35" i="44"/>
  <c r="H35" i="44"/>
  <c r="G35" i="44"/>
  <c r="F35" i="44"/>
  <c r="E35" i="44"/>
  <c r="R34" i="44"/>
  <c r="Q34" i="44"/>
  <c r="P34" i="44"/>
  <c r="O34" i="44"/>
  <c r="N34" i="44"/>
  <c r="M34" i="44"/>
  <c r="L34" i="44"/>
  <c r="K34" i="44"/>
  <c r="J34" i="44"/>
  <c r="I34" i="44"/>
  <c r="H34" i="44"/>
  <c r="G34" i="44"/>
  <c r="F34" i="44"/>
  <c r="E34" i="44"/>
  <c r="R33" i="44"/>
  <c r="Q33" i="44"/>
  <c r="P33" i="44"/>
  <c r="O33" i="44"/>
  <c r="N33" i="44"/>
  <c r="M33" i="44"/>
  <c r="L33" i="44"/>
  <c r="K33" i="44"/>
  <c r="J33" i="44"/>
  <c r="I33" i="44"/>
  <c r="H33" i="44"/>
  <c r="G33" i="44"/>
  <c r="F33" i="44"/>
  <c r="E33" i="44"/>
  <c r="R32" i="44"/>
  <c r="Q32" i="44"/>
  <c r="P32" i="44"/>
  <c r="O32" i="44"/>
  <c r="N32" i="44"/>
  <c r="M32" i="44"/>
  <c r="L32" i="44"/>
  <c r="K32" i="44"/>
  <c r="J32" i="44"/>
  <c r="I32" i="44"/>
  <c r="H32" i="44"/>
  <c r="G32" i="44"/>
  <c r="F32" i="44"/>
  <c r="E32" i="44"/>
  <c r="R31" i="44"/>
  <c r="Q31" i="44"/>
  <c r="P31" i="44"/>
  <c r="O31" i="44"/>
  <c r="N31" i="44"/>
  <c r="M31" i="44"/>
  <c r="L31" i="44"/>
  <c r="K31" i="44"/>
  <c r="J31" i="44"/>
  <c r="I31" i="44"/>
  <c r="H31" i="44"/>
  <c r="G31" i="44"/>
  <c r="F31" i="44"/>
  <c r="E31" i="44"/>
  <c r="R30" i="44"/>
  <c r="Q30" i="44"/>
  <c r="P30" i="44"/>
  <c r="O30" i="44"/>
  <c r="N30" i="44"/>
  <c r="M30" i="44"/>
  <c r="L30" i="44"/>
  <c r="K30" i="44"/>
  <c r="J30" i="44"/>
  <c r="I30" i="44"/>
  <c r="H30" i="44"/>
  <c r="G30" i="44"/>
  <c r="F30" i="44"/>
  <c r="E30" i="44"/>
  <c r="R29" i="44"/>
  <c r="Q29" i="44"/>
  <c r="P29" i="44"/>
  <c r="O29" i="44"/>
  <c r="N29" i="44"/>
  <c r="M29" i="44"/>
  <c r="L29" i="44"/>
  <c r="K29" i="44"/>
  <c r="J29" i="44"/>
  <c r="I29" i="44"/>
  <c r="H29" i="44"/>
  <c r="G29" i="44"/>
  <c r="F29" i="44"/>
  <c r="E29" i="44"/>
  <c r="T28" i="44"/>
  <c r="S28" i="44"/>
  <c r="R28" i="44"/>
  <c r="Q28" i="44"/>
  <c r="P28" i="44"/>
  <c r="O28" i="44"/>
  <c r="N28" i="44"/>
  <c r="M28" i="44"/>
  <c r="L28" i="44"/>
  <c r="K28" i="44"/>
  <c r="J28" i="44"/>
  <c r="I28" i="44"/>
  <c r="H28" i="44"/>
  <c r="G28" i="44"/>
  <c r="F28" i="44"/>
  <c r="E28" i="44"/>
  <c r="R27" i="44"/>
  <c r="Q27" i="44"/>
  <c r="P27" i="44"/>
  <c r="O27" i="44"/>
  <c r="L27" i="44"/>
  <c r="K27" i="44"/>
  <c r="J27" i="44"/>
  <c r="F27" i="44"/>
  <c r="E27" i="44"/>
  <c r="T26" i="44"/>
  <c r="S26" i="44"/>
  <c r="R26" i="44"/>
  <c r="Q26" i="44"/>
  <c r="P26" i="44"/>
  <c r="O26" i="44"/>
  <c r="N26" i="44"/>
  <c r="M26" i="44"/>
  <c r="L26" i="44"/>
  <c r="K26" i="44"/>
  <c r="J26" i="44"/>
  <c r="I26" i="44"/>
  <c r="H26" i="44"/>
  <c r="G26" i="44"/>
  <c r="F26" i="44"/>
  <c r="E26" i="44"/>
  <c r="T25" i="44"/>
  <c r="S25" i="44"/>
  <c r="R25" i="44"/>
  <c r="Q25" i="44"/>
  <c r="P25" i="44"/>
  <c r="O25" i="44"/>
  <c r="N25" i="44"/>
  <c r="M25" i="44"/>
  <c r="L25" i="44"/>
  <c r="K25" i="44"/>
  <c r="J25" i="44"/>
  <c r="I25" i="44"/>
  <c r="H25" i="44"/>
  <c r="G25" i="44"/>
  <c r="F25" i="44"/>
  <c r="E25" i="44"/>
  <c r="T24" i="44"/>
  <c r="S24" i="44"/>
  <c r="R24" i="44"/>
  <c r="Q24" i="44"/>
  <c r="P24" i="44"/>
  <c r="O24" i="44"/>
  <c r="N24" i="44"/>
  <c r="M24" i="44"/>
  <c r="L24" i="44"/>
  <c r="K24" i="44"/>
  <c r="J24" i="44"/>
  <c r="I24" i="44"/>
  <c r="H24" i="44"/>
  <c r="G24" i="44"/>
  <c r="F24" i="44"/>
  <c r="E24" i="44"/>
  <c r="T23" i="44"/>
  <c r="S23" i="44"/>
  <c r="R23" i="44"/>
  <c r="Q23" i="44"/>
  <c r="P23" i="44"/>
  <c r="O23" i="44"/>
  <c r="N23" i="44"/>
  <c r="M23" i="44"/>
  <c r="L23" i="44"/>
  <c r="K23" i="44"/>
  <c r="J23" i="44"/>
  <c r="I23" i="44"/>
  <c r="H23" i="44"/>
  <c r="G23" i="44"/>
  <c r="F23" i="44"/>
  <c r="E23" i="44"/>
  <c r="T22" i="44"/>
  <c r="S22" i="44"/>
  <c r="R22" i="44"/>
  <c r="Q22" i="44"/>
  <c r="P22" i="44"/>
  <c r="O22" i="44"/>
  <c r="N22" i="44"/>
  <c r="M22" i="44"/>
  <c r="L22" i="44"/>
  <c r="K22" i="44"/>
  <c r="J22" i="44"/>
  <c r="I22" i="44"/>
  <c r="H22" i="44"/>
  <c r="G22" i="44"/>
  <c r="F22" i="44"/>
  <c r="E22" i="44"/>
  <c r="T21" i="44"/>
  <c r="S21" i="44"/>
  <c r="R21" i="44"/>
  <c r="Q21" i="44"/>
  <c r="P21" i="44"/>
  <c r="O21" i="44"/>
  <c r="N21" i="44"/>
  <c r="M21" i="44"/>
  <c r="L21" i="44"/>
  <c r="K21" i="44"/>
  <c r="J21" i="44"/>
  <c r="I21" i="44"/>
  <c r="H21" i="44"/>
  <c r="G21" i="44"/>
  <c r="F21" i="44"/>
  <c r="E21" i="44"/>
  <c r="T20" i="44"/>
  <c r="S20" i="44"/>
  <c r="R20" i="44"/>
  <c r="Q20" i="44"/>
  <c r="P20" i="44"/>
  <c r="O20" i="44"/>
  <c r="N20" i="44"/>
  <c r="M20" i="44"/>
  <c r="L20" i="44"/>
  <c r="K20" i="44"/>
  <c r="J20" i="44"/>
  <c r="I20" i="44"/>
  <c r="H20" i="44"/>
  <c r="G20" i="44"/>
  <c r="F20" i="44"/>
  <c r="E20" i="44"/>
  <c r="T19" i="44"/>
  <c r="S19" i="44"/>
  <c r="R19" i="44"/>
  <c r="Q19" i="44"/>
  <c r="P19" i="44"/>
  <c r="O19" i="44"/>
  <c r="N19" i="44"/>
  <c r="M19" i="44"/>
  <c r="L19" i="44"/>
  <c r="K19" i="44"/>
  <c r="J19" i="44"/>
  <c r="I19" i="44"/>
  <c r="H19" i="44"/>
  <c r="G19" i="44"/>
  <c r="F19" i="44"/>
  <c r="E19" i="44"/>
  <c r="T18" i="44"/>
  <c r="S18" i="44"/>
  <c r="R18" i="44"/>
  <c r="Q18" i="44"/>
  <c r="P18" i="44"/>
  <c r="O18" i="44"/>
  <c r="N18" i="44"/>
  <c r="M18" i="44"/>
  <c r="L18" i="44"/>
  <c r="K18" i="44"/>
  <c r="J18" i="44"/>
  <c r="I18" i="44"/>
  <c r="H18" i="44"/>
  <c r="G18" i="44"/>
  <c r="F18" i="44"/>
  <c r="E18" i="44"/>
  <c r="T17" i="44"/>
  <c r="S17" i="44"/>
  <c r="R17" i="44"/>
  <c r="Q17" i="44"/>
  <c r="P17" i="44"/>
  <c r="O17" i="44"/>
  <c r="N17" i="44"/>
  <c r="M17" i="44"/>
  <c r="L17" i="44"/>
  <c r="K17" i="44"/>
  <c r="J17" i="44"/>
  <c r="I17" i="44"/>
  <c r="H17" i="44"/>
  <c r="G17" i="44"/>
  <c r="F17" i="44"/>
  <c r="E17" i="44"/>
  <c r="T16" i="44"/>
  <c r="S16" i="44"/>
  <c r="R16" i="44"/>
  <c r="Q16" i="44"/>
  <c r="P16" i="44"/>
  <c r="O16" i="44"/>
  <c r="N16" i="44"/>
  <c r="M16" i="44"/>
  <c r="L16" i="44"/>
  <c r="K16" i="44"/>
  <c r="J16" i="44"/>
  <c r="I16" i="44"/>
  <c r="H16" i="44"/>
  <c r="G16" i="44"/>
  <c r="F16" i="44"/>
  <c r="E16" i="44"/>
</calcChain>
</file>

<file path=xl/sharedStrings.xml><?xml version="1.0" encoding="utf-8"?>
<sst xmlns="http://schemas.openxmlformats.org/spreadsheetml/2006/main" count="417" uniqueCount="237">
  <si>
    <t>Наименование</t>
  </si>
  <si>
    <t>шт.</t>
  </si>
  <si>
    <t>-</t>
  </si>
  <si>
    <t>Прайс-лист</t>
  </si>
  <si>
    <t>Наименование профиля</t>
  </si>
  <si>
    <t>Длина min/max, м</t>
  </si>
  <si>
    <t>Ед. изм.</t>
  </si>
  <si>
    <t>Ширина заготовки, мм</t>
  </si>
  <si>
    <t>Design</t>
  </si>
  <si>
    <t>Premium</t>
  </si>
  <si>
    <t>GreenCoat Pural, Pural Matt (1)</t>
  </si>
  <si>
    <t>Стальной Бархат (1)</t>
  </si>
  <si>
    <t>Standart +</t>
  </si>
  <si>
    <t>PE</t>
  </si>
  <si>
    <t>Zn</t>
  </si>
  <si>
    <t>Colority  Print (1)</t>
  </si>
  <si>
    <t>Safari (1)</t>
  </si>
  <si>
    <t>Print РФ (1)</t>
  </si>
  <si>
    <t>Quarzit  Pro Matt</t>
  </si>
  <si>
    <t xml:space="preserve">Quarzit </t>
  </si>
  <si>
    <t>Quarzit lite</t>
  </si>
  <si>
    <t>Velur (1)</t>
  </si>
  <si>
    <t>Atlas</t>
  </si>
  <si>
    <t>Drap (1)</t>
  </si>
  <si>
    <t>Satin</t>
  </si>
  <si>
    <t>Толщина металла, мм / покрытия, мкм</t>
  </si>
  <si>
    <t>0,45/30</t>
  </si>
  <si>
    <t>0,45/10</t>
  </si>
  <si>
    <t>0,5/50</t>
  </si>
  <si>
    <t>0,5 / 55</t>
  </si>
  <si>
    <t>0,5 / 25</t>
  </si>
  <si>
    <t>0,5 / 35</t>
  </si>
  <si>
    <t>0,5/25-30</t>
  </si>
  <si>
    <t>0,45/25</t>
  </si>
  <si>
    <t>0,4/0,45/matt</t>
  </si>
  <si>
    <t>0,4-0,55</t>
  </si>
  <si>
    <t>Доборные элементы для кровельных систем</t>
  </si>
  <si>
    <t>Конек полукруглый 1,97 м</t>
  </si>
  <si>
    <t>п.м.</t>
  </si>
  <si>
    <t>Конек полукруглый малый 1,97 м</t>
  </si>
  <si>
    <t>70*70</t>
  </si>
  <si>
    <t>100*100</t>
  </si>
  <si>
    <t>150*150</t>
  </si>
  <si>
    <t>Конек плоский</t>
  </si>
  <si>
    <t>115*30*115</t>
  </si>
  <si>
    <t>115*30*115 ЮГ</t>
  </si>
  <si>
    <t>145*145</t>
  </si>
  <si>
    <t>150*40*150</t>
  </si>
  <si>
    <t>190*190</t>
  </si>
  <si>
    <t>Конек прямоугольный</t>
  </si>
  <si>
    <t>115х30х115 ЮГ, Воронеж</t>
  </si>
  <si>
    <t>168*30*168, Воронеж</t>
  </si>
  <si>
    <t>Конек односкатной кровли 160х160</t>
  </si>
  <si>
    <t>Заглушка к полукруглому коньку (2)</t>
  </si>
  <si>
    <t>торцевая</t>
  </si>
  <si>
    <t>конусная</t>
  </si>
  <si>
    <t>Заглушка к полукруглому коньку малому (2)</t>
  </si>
  <si>
    <t>Тройник Y - образный для полукруглого конька (4)</t>
  </si>
  <si>
    <t>Тройник Y - образный для полукруглого конька малого (2)</t>
  </si>
  <si>
    <t>Планка примыкания</t>
  </si>
  <si>
    <t>90*140</t>
  </si>
  <si>
    <t>150*250</t>
  </si>
  <si>
    <t>нижняя 122*260</t>
  </si>
  <si>
    <t>внакладку 25х17х35х17</t>
  </si>
  <si>
    <t>в штробу 60</t>
  </si>
  <si>
    <t>Ендова верхняя</t>
  </si>
  <si>
    <t>95х80х95 ЮГ</t>
  </si>
  <si>
    <t>Ендова нижняя</t>
  </si>
  <si>
    <t>300*300</t>
  </si>
  <si>
    <t>Планка торцевая</t>
  </si>
  <si>
    <t>80*100</t>
  </si>
  <si>
    <t>80*100 ЮГ</t>
  </si>
  <si>
    <t>142*100</t>
  </si>
  <si>
    <t>фигурная 90*110 ЮГ</t>
  </si>
  <si>
    <t>сегментная 30мм/20мм L/R</t>
  </si>
  <si>
    <t>Планка карнизная</t>
  </si>
  <si>
    <t>100*65</t>
  </si>
  <si>
    <t>120*80 ЮГ</t>
  </si>
  <si>
    <t>широкая 100*85</t>
  </si>
  <si>
    <t>Планка капельник 100*55</t>
  </si>
  <si>
    <t xml:space="preserve">Планка лобовая/околооконная простая </t>
  </si>
  <si>
    <t>190*50</t>
  </si>
  <si>
    <t>Планка снегозадержания</t>
  </si>
  <si>
    <t>малая ЮГ</t>
  </si>
  <si>
    <t>стандартная</t>
  </si>
  <si>
    <t>стандартная ЮГ</t>
  </si>
  <si>
    <t>усиливающая</t>
  </si>
  <si>
    <t>75*115 ЮГ</t>
  </si>
  <si>
    <t>Планка мансардная</t>
  </si>
  <si>
    <t>Доборные элементы для Фальцевой кровли</t>
  </si>
  <si>
    <t>Вентпрогон опорный для фальца (RAL 7024 и 8017) (4) (0,3/0,5 м)</t>
  </si>
  <si>
    <t>Планка примыкание верхнее к стене фальц 150*130*20 мм</t>
  </si>
  <si>
    <t>Планка примыкание верхнее к трубе фальц</t>
  </si>
  <si>
    <t>Планка примыкание нижнее к трубе фальц</t>
  </si>
  <si>
    <t>Планка карнизная фальц 130х80</t>
  </si>
  <si>
    <t xml:space="preserve">Планка крепежная фальц </t>
  </si>
  <si>
    <t xml:space="preserve">Планка примыкание боковое фальц </t>
  </si>
  <si>
    <t xml:space="preserve">Планка торцевая фальц 60х97  </t>
  </si>
  <si>
    <t>Доборные элементы для мягкой черепицы</t>
  </si>
  <si>
    <t>Планка ветровая двойная завальцовка 60*30*90 мм</t>
  </si>
  <si>
    <t xml:space="preserve">Планка ветровая простая </t>
  </si>
  <si>
    <t xml:space="preserve">100*20*100 </t>
  </si>
  <si>
    <t xml:space="preserve">100*20*70 </t>
  </si>
  <si>
    <t>100*20*70 с отгибом</t>
  </si>
  <si>
    <t>130*25*100</t>
  </si>
  <si>
    <t>Планка капельник 100*60 мм (2)</t>
  </si>
  <si>
    <t>Планка примыкания для мягкой кровли</t>
  </si>
  <si>
    <t>Доборные элементы для металлических софитов</t>
  </si>
  <si>
    <t>Околооконная планка сложная (J-фаска)</t>
  </si>
  <si>
    <t>200*50*12</t>
  </si>
  <si>
    <t>200*50*18</t>
  </si>
  <si>
    <t>200*75*18</t>
  </si>
  <si>
    <t>250*50*12</t>
  </si>
  <si>
    <t>250*50*18</t>
  </si>
  <si>
    <t>250*75*18</t>
  </si>
  <si>
    <t>Планка лобовая/околооконная простая 190х50</t>
  </si>
  <si>
    <t>J-профиль</t>
  </si>
  <si>
    <t>18 мм</t>
  </si>
  <si>
    <t>12 мм</t>
  </si>
  <si>
    <t>Планка финишная 46х25</t>
  </si>
  <si>
    <t>Нестандартные доборные элементы</t>
  </si>
  <si>
    <t>Ширина развертки, мм</t>
  </si>
  <si>
    <t>Цена, руб./п.м.</t>
  </si>
  <si>
    <t>Druid (Print)</t>
  </si>
  <si>
    <t>Safari</t>
  </si>
  <si>
    <t>Print РФ</t>
  </si>
  <si>
    <t>Quarzit</t>
  </si>
  <si>
    <t>Velur</t>
  </si>
  <si>
    <t xml:space="preserve">GreenCoat Pural, Pural Matt </t>
  </si>
  <si>
    <t>Стальной Бархат</t>
  </si>
  <si>
    <t>Drap</t>
  </si>
  <si>
    <t xml:space="preserve"> PE 0,7</t>
  </si>
  <si>
    <t xml:space="preserve"> PE 0,45</t>
  </si>
  <si>
    <t>Цинк 0,4-0,55</t>
  </si>
  <si>
    <t>Цинк 0,7</t>
  </si>
  <si>
    <t>Примечания</t>
  </si>
  <si>
    <t>(1) доборные элементы в покрытии Velur, GreenCoat Pural Matt, Стальной бархат, Drap, Colority Print, Safari, Print РФ  изготавливаются без защитной пленки. Также без защитной пленки изготавливаются планка конька фигурного и планка ендовы верхней фигурной во всех покрытиях.</t>
  </si>
  <si>
    <t>(2) внешний вид планок пр-ва Обн (Верховье) и СПб отличается, планка пр-во СПб имеет завальцовку.</t>
  </si>
  <si>
    <t xml:space="preserve">(3) плоский лист в покрытии Velur изготавливается в защитной пленке - цена указана без учета стоимости пленки, т.е. к цене прайса нужно прибавить 15 руб. за пленку. </t>
  </si>
  <si>
    <t>(4) штрипс длиной менее 4 м изготавливается только в пленке. Максимальная длина отмотки в покрытиях Design и Premium 50м.</t>
  </si>
  <si>
    <t>Максимальная длина отмотки на заводе в НН 450 м</t>
  </si>
  <si>
    <t>Cтоимость доставки отмотки/штрипса из Обнинска в НН на поддоне Р 1300 руб/шт</t>
  </si>
  <si>
    <t>Доборные элементы для продукции в PE 0,4-0,45 изготавливаются в покрытии Satin</t>
  </si>
  <si>
    <t>Доборные элементы для продукции в Zn 0,7 в НН не изготавливаются</t>
  </si>
  <si>
    <t>Сокращения: Обн. - производство Обнинск (Верховье); СПБ - производство Санкт-Петербург (Гатчина); НН - производство Нижний Новгород (Дружный); Врн - производство Воронеж (Масловская промзона)</t>
  </si>
  <si>
    <t>Ваша скидка</t>
  </si>
  <si>
    <t>ДЭ</t>
  </si>
  <si>
    <t>НДЭ</t>
  </si>
  <si>
    <r>
      <t xml:space="preserve">Конек фигурный </t>
    </r>
    <r>
      <rPr>
        <b/>
        <sz val="12"/>
        <color indexed="10"/>
        <rFont val="Calibri"/>
      </rPr>
      <t>NEW</t>
    </r>
  </si>
  <si>
    <r>
      <t xml:space="preserve">Ендова верхняя фигурная </t>
    </r>
    <r>
      <rPr>
        <b/>
        <sz val="12"/>
        <color indexed="10"/>
        <rFont val="Calibri"/>
      </rPr>
      <t>NEW</t>
    </r>
  </si>
  <si>
    <r>
      <rPr>
        <b/>
        <sz val="12"/>
        <rFont val="Calibri"/>
      </rPr>
      <t>Нестандартный доборный элемент</t>
    </r>
    <r>
      <rPr>
        <sz val="12"/>
        <rFont val="Calibri"/>
      </rPr>
      <t xml:space="preserve"> (укажите ширину развертки элемента в мм в зеленом поле)</t>
    </r>
  </si>
  <si>
    <t>Доборные элементы кровли GRANDLINE</t>
  </si>
  <si>
    <t>КОМПЛЕКТУЮЩИЕ И НЕСТАНДАРТНЫЕ ПЛАНКИ  СОБСТВЕННОГО ПРОИЗВОДСТВА</t>
  </si>
  <si>
    <t>Прайс-лист  действителен с 26.05.2017 г.</t>
  </si>
  <si>
    <t>Доборные элементы кровли</t>
  </si>
  <si>
    <t>Элемент</t>
  </si>
  <si>
    <t>Эскиз</t>
  </si>
  <si>
    <t xml:space="preserve">Длина	 	</t>
  </si>
  <si>
    <t xml:space="preserve"> PE (Polyester)</t>
  </si>
  <si>
    <t>PN (Prelaq Nova)</t>
  </si>
  <si>
    <t>3005, 6005, 8017 384, 418, 859, RR-35, 750</t>
  </si>
  <si>
    <t xml:space="preserve"> RR-32,  RR-29,  RR-11</t>
  </si>
  <si>
    <t>Конек плоский узкий</t>
  </si>
  <si>
    <t xml:space="preserve">2м	</t>
  </si>
  <si>
    <t>Конек плоский  широкий</t>
  </si>
  <si>
    <t>Торцевая планка для металлочерепицы</t>
  </si>
  <si>
    <t>Торцевая планка для гибкой черепицы</t>
  </si>
  <si>
    <t>Карнизная планка</t>
  </si>
  <si>
    <t xml:space="preserve">Карнизная планка для гибкой черепицы </t>
  </si>
  <si>
    <t>Планка примыкания для металлочерепицы</t>
  </si>
  <si>
    <t>Планка примыкания для гибкой черепицы</t>
  </si>
  <si>
    <t>Ендова</t>
  </si>
  <si>
    <t>Накладка ендовы</t>
  </si>
  <si>
    <t>Отлив оконный</t>
  </si>
  <si>
    <t>Покрытие</t>
  </si>
  <si>
    <t>Полиэстер, длина 2 м</t>
  </si>
  <si>
    <t>Оцинковка, длина 2 м</t>
  </si>
  <si>
    <t>Наценки к стоимости при изготовлении из металла с другим полимерным покрытием (к стоимости  в Полиэстер): PEdp, Velur, Print + 30% / Pural, Safari, Quarzit, Granite + 40%</t>
  </si>
  <si>
    <t>Выделенные позиции в наличии на складе: полиэстер 0,4 мм RAL8017 (коричневый), RAL9003 (белый), оцинковка 0,5 мм</t>
  </si>
  <si>
    <t>Угол наружный / внутренний (длина 2 м)</t>
  </si>
  <si>
    <t>Полиэстер</t>
  </si>
  <si>
    <t>Оцинковка</t>
  </si>
  <si>
    <t>Парапет (длина 2 м)</t>
  </si>
  <si>
    <t xml:space="preserve">Наценки к стоимости при изготовлении из металла с другим полимерным покрытием (к стоимости  в Полиэстер): PEdp, Velur, Print + 30% / Pural, Safari, Quarzit, Granite + 40% </t>
  </si>
  <si>
    <t>Фаска карнизная с J-профилем (длина 2 м)</t>
  </si>
  <si>
    <t>Полиэстер RAL 9003 / 8017</t>
  </si>
  <si>
    <t>Другие цвета и покрытия</t>
  </si>
  <si>
    <t>Выделенные позиции в наличии на складе: полиэстер 0,4 мм RAL8017 (коричневый), RAL9003 (белый)</t>
  </si>
  <si>
    <t>Планка околооконная (длина 2 м)</t>
  </si>
  <si>
    <t>Ширина 13,5 см</t>
  </si>
  <si>
    <t>Завершающий профиль (длина 2 м)</t>
  </si>
  <si>
    <t>Окантовочный П-образный профиль (длина 2 м)</t>
  </si>
  <si>
    <t>Выделенная позиция имеется в наличии на складе в покрытии: полиэстер 0,4 мм RAL8017 (коричневый), RAL6005 (зеленый), RAL3005 (вишневый)</t>
  </si>
  <si>
    <t xml:space="preserve"> J- профиль (длина 2 м)</t>
  </si>
  <si>
    <t>Нестандартная планка</t>
  </si>
  <si>
    <t>Цена изделия 1 м2</t>
  </si>
  <si>
    <t>1. Максимальная длина изделий - 2 м</t>
  </si>
  <si>
    <t>2. Срок изготовления вышеуказанных изделий - 3-5 дней</t>
  </si>
  <si>
    <t>3. Возможно изготовление отливов, планок, профилей из стали с другими полимерными покрытиями и других цветов.</t>
  </si>
  <si>
    <t xml:space="preserve">     Наценки к стоимости при изготовлении из металла с другим полимерным покрытием (к стоимости  в Полиэстер): PEdp, Velur, Print + 30% / Pural, Safari, Quarzit, Granite + 40% </t>
  </si>
  <si>
    <t xml:space="preserve">    Срок изготовления необходимо уточнять дополнительно.</t>
  </si>
  <si>
    <t>4. Все вышеуказанные изделия производятся по индивидуальному заказу и возврату не подлежат, кроме выделенных позиций, имеющихся на складе.</t>
  </si>
  <si>
    <t>КОЛПАКИ И ДЫМНИКИ</t>
  </si>
  <si>
    <t>Прайс-лист  действителен с 15.02.2017 г.</t>
  </si>
  <si>
    <t>Особенности</t>
  </si>
  <si>
    <t xml:space="preserve">Размер трубы (max ширина - 1500мм, max длина - 2500мм), мм * </t>
  </si>
  <si>
    <t>Внешний вид</t>
  </si>
  <si>
    <t>Расчетная цена</t>
  </si>
  <si>
    <t>Цена 
руб./шт</t>
  </si>
  <si>
    <t>Дымники (колпаки на трубы, флюгарка) **</t>
  </si>
  <si>
    <t>Ширина, мм</t>
  </si>
  <si>
    <t>Длина, мм</t>
  </si>
  <si>
    <t>Optima</t>
  </si>
  <si>
    <t>Цинк 0,35</t>
  </si>
  <si>
    <t>Ре 0,35***</t>
  </si>
  <si>
    <t>Grand Line</t>
  </si>
  <si>
    <t>Цинк 0,45</t>
  </si>
  <si>
    <t>Ре 0,45</t>
  </si>
  <si>
    <t xml:space="preserve">Drap </t>
  </si>
  <si>
    <t>PurPur</t>
  </si>
  <si>
    <t>Colority®Print</t>
  </si>
  <si>
    <t>Quarzit Lite</t>
  </si>
  <si>
    <t>Quarzit Matt</t>
  </si>
  <si>
    <t>Внимание! Дымники Optima имеют конструктивные отличия от дымников Grand Line</t>
  </si>
  <si>
    <t>* - размеры указываются кратно 10 мм (1 см), возможность изготовления издений свыше 2,5х1,5м уточняйте у менеджера</t>
  </si>
  <si>
    <t>*** - изготавливается в цветах RAL 3005, 6005, 8017</t>
  </si>
  <si>
    <t>** - возможно изготовление двойных дымников, дымников с жалюзи, сеткой и по чертежам заказчика. Срок изготовления и стоимость изделий уточняйте у менеджера по продажам.</t>
  </si>
  <si>
    <t>Цена, руб. с НДС</t>
  </si>
  <si>
    <t>Ширина полки (А), см / цена в рублях с НДС за шт.</t>
  </si>
  <si>
    <t>Ширина (А), см / цена в рублях с НДС за шт.</t>
  </si>
  <si>
    <t>Ширина лобовой части (А), см / цена в рублях с НДС  за шт.</t>
  </si>
  <si>
    <t>Цена в рублях с НДС  за шт.</t>
  </si>
  <si>
    <t>Ширина угла (А), см / цена в рублях с НДС за шт.</t>
  </si>
  <si>
    <r>
      <t xml:space="preserve">1. </t>
    </r>
    <r>
      <rPr>
        <sz val="12"/>
        <color indexed="8"/>
        <rFont val="Calibri"/>
      </rPr>
      <t xml:space="preserve">экономичное решение
</t>
    </r>
    <r>
      <rPr>
        <b/>
        <sz val="12"/>
        <color indexed="8"/>
        <rFont val="Calibri"/>
      </rPr>
      <t xml:space="preserve">2. </t>
    </r>
    <r>
      <rPr>
        <sz val="12"/>
        <color indexed="8"/>
        <rFont val="Calibri"/>
      </rPr>
      <t xml:space="preserve">изготовление по индивидуальным размерам
</t>
    </r>
    <r>
      <rPr>
        <b/>
        <sz val="12"/>
        <color indexed="8"/>
        <rFont val="Calibri"/>
      </rPr>
      <t xml:space="preserve">3. </t>
    </r>
    <r>
      <rPr>
        <sz val="12"/>
        <color indexed="8"/>
        <rFont val="Calibri"/>
      </rPr>
      <t>не имеет отражателя - сквозное крепление к зонту</t>
    </r>
  </si>
  <si>
    <r>
      <t xml:space="preserve">1. </t>
    </r>
    <r>
      <rPr>
        <sz val="12"/>
        <color indexed="8"/>
        <rFont val="Calibri"/>
      </rPr>
      <t xml:space="preserve">изготовеление по индивидуальным размерам
</t>
    </r>
    <r>
      <rPr>
        <b/>
        <sz val="12"/>
        <color indexed="8"/>
        <rFont val="Calibri"/>
      </rPr>
      <t xml:space="preserve">2. </t>
    </r>
    <r>
      <rPr>
        <sz val="12"/>
        <color indexed="8"/>
        <rFont val="Calibri"/>
      </rPr>
      <t xml:space="preserve">водоотводящий капельник
</t>
    </r>
    <r>
      <rPr>
        <b/>
        <sz val="12"/>
        <color indexed="8"/>
        <rFont val="Calibri"/>
      </rPr>
      <t>3.</t>
    </r>
    <r>
      <rPr>
        <sz val="12"/>
        <color indexed="8"/>
        <rFont val="Calibri"/>
      </rPr>
      <t xml:space="preserve"> все изделия в пленке
</t>
    </r>
    <r>
      <rPr>
        <b/>
        <sz val="12"/>
        <color indexed="8"/>
        <rFont val="Calibri"/>
      </rPr>
      <t xml:space="preserve">4. </t>
    </r>
    <r>
      <rPr>
        <sz val="12"/>
        <color indexed="8"/>
        <rFont val="Calibri"/>
      </rPr>
      <t xml:space="preserve">отражатель в цвет изделия
</t>
    </r>
    <r>
      <rPr>
        <b/>
        <sz val="12"/>
        <color indexed="8"/>
        <rFont val="Calibri"/>
      </rPr>
      <t xml:space="preserve">5. </t>
    </r>
    <r>
      <rPr>
        <sz val="12"/>
        <color indexed="8"/>
        <rFont val="Calibri"/>
      </rPr>
      <t xml:space="preserve">жесткая конструкция
</t>
    </r>
    <r>
      <rPr>
        <b/>
        <sz val="12"/>
        <color indexed="8"/>
        <rFont val="Calibri"/>
      </rPr>
      <t xml:space="preserve">6. </t>
    </r>
    <r>
      <rPr>
        <sz val="12"/>
        <color indexed="8"/>
        <rFont val="Calibri"/>
      </rPr>
      <t xml:space="preserve">отсутвие заклепок на поверхности зонта
</t>
    </r>
    <r>
      <rPr>
        <b/>
        <sz val="12"/>
        <color indexed="8"/>
        <rFont val="Calibri"/>
      </rPr>
      <t xml:space="preserve">7. </t>
    </r>
    <r>
      <rPr>
        <sz val="12"/>
        <color indexed="8"/>
        <rFont val="Calibri"/>
      </rPr>
      <t>фальцевое соединение</t>
    </r>
  </si>
  <si>
    <t>цены действительны с 28.08.2019</t>
  </si>
  <si>
    <t>Цена, руб. C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</si>
</sst>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\ &quot;₽&quot;"/>
    <numFmt numFmtId="165" formatCode="0.000"/>
    <numFmt numFmtId="166" formatCode="_(\$* #,##0.00_);_(\$* \(#,##0.00\);_(\$* \-??_);_(@_)"/>
    <numFmt numFmtId="167" formatCode="_-* #,##0.00_р_._-;\-* #,##0.00_р_._-;_-* &quot;-&quot;??_р_._-;_-@_-"/>
    <numFmt numFmtId="168" formatCode="_-* #,##0.00_р_._-;\-* #,##0.00_р_._-;_-* \-??_р_._-;_-@_-"/>
    <numFmt numFmtId="169" formatCode="_(* #,##0.00_);_(* \(#,##0.00\);_(* &quot;-&quot;??_);_(@_)"/>
    <numFmt numFmtId="170" formatCode="_([$€]* #,##0.00_);_([$€]* \(#,##0.00\);_([$€]* &quot;-&quot;??_);_(@_)"/>
    <numFmt numFmtId="171" formatCode="_([$€]* #,##0.00_);_([$€]* \(#,##0.00\);_([$€]* \-??_);_(@_)"/>
  </numFmts>
  <fonts count="45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u/>
      <sz val="7.5"/>
      <color indexed="12"/>
      <name val="Arial"/>
      <family val="2"/>
      <charset val="204"/>
    </font>
    <font>
      <b/>
      <sz val="12"/>
      <color theme="0"/>
      <name val="Calibri"/>
      <family val="2"/>
      <charset val="204"/>
      <scheme val="minor"/>
    </font>
    <font>
      <sz val="12"/>
      <name val="Calibri"/>
    </font>
    <font>
      <b/>
      <sz val="12"/>
      <name val="Calibri"/>
    </font>
    <font>
      <sz val="10"/>
      <name val="Arial Cyr"/>
      <charset val="204"/>
    </font>
    <font>
      <sz val="10"/>
      <color rgb="FFFF0000"/>
      <name val="Arial Cyr"/>
      <charset val="204"/>
    </font>
    <font>
      <sz val="10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Calibri"/>
    </font>
    <font>
      <b/>
      <sz val="10"/>
      <name val="Calibri"/>
    </font>
    <font>
      <b/>
      <sz val="12"/>
      <color indexed="10"/>
      <name val="Calibri"/>
    </font>
    <font>
      <sz val="12"/>
      <color rgb="FFFF0000"/>
      <name val="Calibri"/>
    </font>
    <font>
      <sz val="12"/>
      <color indexed="8"/>
      <name val="Calibri"/>
    </font>
    <font>
      <b/>
      <sz val="12"/>
      <color rgb="FFFF0000"/>
      <name val="Calibri"/>
    </font>
    <font>
      <sz val="24"/>
      <color theme="0"/>
      <name val="Calibri"/>
    </font>
    <font>
      <b/>
      <sz val="8"/>
      <name val="Arial"/>
      <family val="2"/>
      <charset val="204"/>
    </font>
    <font>
      <b/>
      <sz val="12"/>
      <color theme="0"/>
      <name val="Calibri"/>
    </font>
    <font>
      <b/>
      <sz val="8"/>
      <name val="Calibri"/>
    </font>
    <font>
      <sz val="12"/>
      <color theme="1"/>
      <name val="Calibri"/>
    </font>
    <font>
      <b/>
      <sz val="12"/>
      <color indexed="8"/>
      <name val="Calibri"/>
    </font>
    <font>
      <sz val="16"/>
      <color theme="0"/>
      <name val="Calibri"/>
    </font>
    <font>
      <b/>
      <sz val="16"/>
      <name val="Calibri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6"/>
      </patternFill>
    </fill>
  </fills>
  <borders count="25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</borders>
  <cellStyleXfs count="371">
    <xf numFmtId="0" fontId="0" fillId="0" borderId="0"/>
    <xf numFmtId="0" fontId="1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4" fillId="20" borderId="15" applyNumberFormat="0" applyAlignment="0" applyProtection="0"/>
    <xf numFmtId="0" fontId="14" fillId="21" borderId="15" applyNumberFormat="0" applyAlignment="0" applyProtection="0"/>
    <xf numFmtId="0" fontId="14" fillId="21" borderId="15" applyNumberFormat="0" applyAlignment="0" applyProtection="0"/>
    <xf numFmtId="0" fontId="14" fillId="20" borderId="15" applyNumberFormat="0" applyAlignment="0" applyProtection="0"/>
    <xf numFmtId="0" fontId="14" fillId="20" borderId="15" applyNumberFormat="0" applyAlignment="0" applyProtection="0"/>
    <xf numFmtId="0" fontId="15" fillId="46" borderId="16" applyNumberFormat="0" applyAlignment="0" applyProtection="0"/>
    <xf numFmtId="0" fontId="15" fillId="7" borderId="16" applyNumberFormat="0" applyAlignment="0" applyProtection="0"/>
    <xf numFmtId="0" fontId="15" fillId="7" borderId="16" applyNumberFormat="0" applyAlignment="0" applyProtection="0"/>
    <xf numFmtId="0" fontId="15" fillId="46" borderId="16" applyNumberFormat="0" applyAlignment="0" applyProtection="0"/>
    <xf numFmtId="0" fontId="15" fillId="46" borderId="16" applyNumberFormat="0" applyAlignment="0" applyProtection="0"/>
    <xf numFmtId="0" fontId="16" fillId="46" borderId="15" applyNumberFormat="0" applyAlignment="0" applyProtection="0"/>
    <xf numFmtId="0" fontId="16" fillId="7" borderId="15" applyNumberFormat="0" applyAlignment="0" applyProtection="0"/>
    <xf numFmtId="0" fontId="16" fillId="7" borderId="15" applyNumberFormat="0" applyAlignment="0" applyProtection="0"/>
    <xf numFmtId="0" fontId="16" fillId="46" borderId="15" applyNumberFormat="0" applyAlignment="0" applyProtection="0"/>
    <xf numFmtId="0" fontId="16" fillId="46" borderId="15" applyNumberFormat="0" applyAlignment="0" applyProtection="0"/>
    <xf numFmtId="0" fontId="17" fillId="0" borderId="0" applyNumberFormat="0" applyFill="0" applyBorder="0" applyAlignment="0" applyProtection="0"/>
    <xf numFmtId="166" fontId="1" fillId="0" borderId="0" applyFill="0" applyBorder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20" fillId="0" borderId="19" applyNumberFormat="0" applyFill="0" applyAlignment="0" applyProtection="0"/>
    <xf numFmtId="0" fontId="20" fillId="0" borderId="1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left"/>
    </xf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1" fillId="0" borderId="0" applyNumberFormat="0" applyFill="0" applyBorder="0" applyProtection="0">
      <alignment horizontal="left"/>
    </xf>
    <xf numFmtId="0" fontId="23" fillId="47" borderId="21" applyNumberFormat="0" applyAlignment="0" applyProtection="0"/>
    <xf numFmtId="0" fontId="23" fillId="48" borderId="21" applyNumberFormat="0" applyAlignment="0" applyProtection="0"/>
    <xf numFmtId="0" fontId="23" fillId="48" borderId="21" applyNumberFormat="0" applyAlignment="0" applyProtection="0"/>
    <xf numFmtId="0" fontId="23" fillId="47" borderId="21" applyNumberFormat="0" applyAlignment="0" applyProtection="0"/>
    <xf numFmtId="0" fontId="23" fillId="47" borderId="2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2" fillId="0" borderId="0"/>
    <xf numFmtId="0" fontId="12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21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10" fillId="0" borderId="0"/>
    <xf numFmtId="0" fontId="1" fillId="0" borderId="0"/>
    <xf numFmtId="0" fontId="12" fillId="0" borderId="0"/>
    <xf numFmtId="0" fontId="7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51" borderId="22" applyNumberFormat="0" applyFont="0" applyAlignment="0" applyProtection="0"/>
    <xf numFmtId="0" fontId="1" fillId="52" borderId="22" applyNumberFormat="0" applyAlignment="0" applyProtection="0"/>
    <xf numFmtId="0" fontId="1" fillId="52" borderId="22" applyNumberFormat="0" applyAlignment="0" applyProtection="0"/>
    <xf numFmtId="0" fontId="7" fillId="51" borderId="22" applyNumberFormat="0" applyFont="0" applyAlignment="0" applyProtection="0"/>
    <xf numFmtId="0" fontId="7" fillId="51" borderId="22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7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7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8" fillId="0" borderId="23" applyNumberFormat="0" applyFill="0" applyAlignment="0" applyProtection="0"/>
    <xf numFmtId="0" fontId="28" fillId="0" borderId="23" applyNumberFormat="0" applyFill="0" applyAlignment="0" applyProtection="0"/>
    <xf numFmtId="0" fontId="1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" fillId="0" borderId="0" applyFill="0" applyBorder="0" applyAlignment="0" applyProtection="0"/>
    <xf numFmtId="169" fontId="7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" fillId="0" borderId="0" applyFill="0" applyBorder="0" applyAlignment="0" applyProtection="0"/>
    <xf numFmtId="169" fontId="7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ill="0" applyBorder="0" applyAlignment="0" applyProtection="0"/>
    <xf numFmtId="170" fontId="1" fillId="0" borderId="0" applyFont="0" applyFill="0" applyBorder="0" applyAlignment="0" applyProtection="0"/>
    <xf numFmtId="0" fontId="12" fillId="0" borderId="0"/>
    <xf numFmtId="0" fontId="12" fillId="0" borderId="0"/>
    <xf numFmtId="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0" fillId="2" borderId="0" xfId="0" applyFill="1"/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0" borderId="0" xfId="4" applyFont="1"/>
    <xf numFmtId="0" fontId="7" fillId="0" borderId="0" xfId="4" applyFont="1" applyFill="1"/>
    <xf numFmtId="0" fontId="8" fillId="0" borderId="0" xfId="4" applyFont="1"/>
    <xf numFmtId="0" fontId="7" fillId="0" borderId="0" xfId="4" applyFont="1" applyFill="1" applyBorder="1"/>
    <xf numFmtId="0" fontId="7" fillId="2" borderId="0" xfId="4" applyFont="1" applyFill="1"/>
    <xf numFmtId="0" fontId="8" fillId="2" borderId="0" xfId="4" applyFont="1" applyFill="1"/>
    <xf numFmtId="0" fontId="7" fillId="2" borderId="0" xfId="4" applyFont="1" applyFill="1" applyBorder="1"/>
    <xf numFmtId="0" fontId="8" fillId="2" borderId="0" xfId="4" applyFont="1" applyFill="1" applyBorder="1"/>
    <xf numFmtId="3" fontId="9" fillId="2" borderId="0" xfId="4" applyNumberFormat="1" applyFont="1" applyFill="1" applyBorder="1" applyAlignment="1">
      <alignment horizontal="center" vertical="center"/>
    </xf>
    <xf numFmtId="0" fontId="5" fillId="2" borderId="0" xfId="4" applyNumberFormat="1" applyFont="1" applyFill="1" applyBorder="1" applyAlignment="1">
      <alignment horizontal="left" vertical="center" wrapText="1"/>
    </xf>
    <xf numFmtId="0" fontId="5" fillId="2" borderId="0" xfId="4" applyNumberFormat="1" applyFont="1" applyFill="1" applyBorder="1" applyAlignment="1">
      <alignment horizontal="center" vertical="center"/>
    </xf>
    <xf numFmtId="165" fontId="5" fillId="2" borderId="0" xfId="4" applyNumberFormat="1" applyFont="1" applyFill="1" applyBorder="1" applyAlignment="1">
      <alignment horizontal="center" vertical="center"/>
    </xf>
    <xf numFmtId="0" fontId="5" fillId="2" borderId="0" xfId="4" applyFont="1" applyFill="1"/>
    <xf numFmtId="0" fontId="6" fillId="0" borderId="1" xfId="4" applyFont="1" applyBorder="1" applyAlignment="1">
      <alignment vertical="center" wrapText="1"/>
    </xf>
    <xf numFmtId="9" fontId="5" fillId="0" borderId="1" xfId="4" applyNumberFormat="1" applyFont="1" applyBorder="1" applyAlignment="1">
      <alignment horizontal="center" vertical="center"/>
    </xf>
    <xf numFmtId="0" fontId="5" fillId="0" borderId="1" xfId="4" applyNumberFormat="1" applyFont="1" applyFill="1" applyBorder="1" applyAlignment="1">
      <alignment horizontal="center" vertical="center"/>
    </xf>
    <xf numFmtId="0" fontId="5" fillId="8" borderId="1" xfId="4" applyNumberFormat="1" applyFont="1" applyFill="1" applyBorder="1" applyAlignment="1">
      <alignment horizontal="center" vertical="center" wrapText="1"/>
    </xf>
    <xf numFmtId="164" fontId="6" fillId="0" borderId="1" xfId="4" applyNumberFormat="1" applyFont="1" applyFill="1" applyBorder="1" applyAlignment="1">
      <alignment horizontal="center" vertical="center"/>
    </xf>
    <xf numFmtId="0" fontId="5" fillId="6" borderId="1" xfId="4" applyNumberFormat="1" applyFont="1" applyFill="1" applyBorder="1" applyAlignment="1">
      <alignment horizontal="center" vertical="center"/>
    </xf>
    <xf numFmtId="165" fontId="5" fillId="6" borderId="1" xfId="4" applyNumberFormat="1" applyFont="1" applyFill="1" applyBorder="1" applyAlignment="1">
      <alignment horizontal="center" vertical="center"/>
    </xf>
    <xf numFmtId="164" fontId="6" fillId="6" borderId="1" xfId="4" applyNumberFormat="1" applyFont="1" applyFill="1" applyBorder="1" applyAlignment="1">
      <alignment horizontal="center" vertical="center"/>
    </xf>
    <xf numFmtId="0" fontId="5" fillId="0" borderId="1" xfId="4" applyNumberFormat="1" applyFont="1" applyFill="1" applyBorder="1" applyAlignment="1">
      <alignment horizontal="right" vertical="center" wrapText="1"/>
    </xf>
    <xf numFmtId="0" fontId="34" fillId="0" borderId="1" xfId="4" applyNumberFormat="1" applyFont="1" applyFill="1" applyBorder="1" applyAlignment="1">
      <alignment horizontal="right" vertical="center" wrapText="1"/>
    </xf>
    <xf numFmtId="0" fontId="34" fillId="6" borderId="1" xfId="4" applyNumberFormat="1" applyFont="1" applyFill="1" applyBorder="1" applyAlignment="1">
      <alignment horizontal="center" vertical="center"/>
    </xf>
    <xf numFmtId="165" fontId="34" fillId="6" borderId="1" xfId="4" applyNumberFormat="1" applyFont="1" applyFill="1" applyBorder="1" applyAlignment="1">
      <alignment horizontal="center" vertical="center"/>
    </xf>
    <xf numFmtId="164" fontId="36" fillId="0" borderId="1" xfId="4" applyNumberFormat="1" applyFont="1" applyFill="1" applyBorder="1" applyAlignment="1">
      <alignment horizontal="center" vertical="center"/>
    </xf>
    <xf numFmtId="164" fontId="36" fillId="6" borderId="1" xfId="4" applyNumberFormat="1" applyFont="1" applyFill="1" applyBorder="1" applyAlignment="1">
      <alignment horizontal="center" vertical="center"/>
    </xf>
    <xf numFmtId="164" fontId="6" fillId="5" borderId="1" xfId="4" applyNumberFormat="1" applyFont="1" applyFill="1" applyBorder="1" applyAlignment="1">
      <alignment horizontal="center" vertical="center"/>
    </xf>
    <xf numFmtId="0" fontId="34" fillId="0" borderId="1" xfId="4" applyFont="1" applyFill="1" applyBorder="1" applyAlignment="1">
      <alignment horizontal="right" vertical="center" wrapText="1"/>
    </xf>
    <xf numFmtId="2" fontId="34" fillId="5" borderId="1" xfId="4" applyNumberFormat="1" applyFont="1" applyFill="1" applyBorder="1" applyAlignment="1">
      <alignment horizontal="center" vertical="center"/>
    </xf>
    <xf numFmtId="165" fontId="34" fillId="5" borderId="1" xfId="4" applyNumberFormat="1" applyFont="1" applyFill="1" applyBorder="1" applyAlignment="1">
      <alignment horizontal="center" vertical="center"/>
    </xf>
    <xf numFmtId="164" fontId="36" fillId="5" borderId="1" xfId="4" applyNumberFormat="1" applyFont="1" applyFill="1" applyBorder="1" applyAlignment="1">
      <alignment horizontal="center" vertical="center"/>
    </xf>
    <xf numFmtId="0" fontId="34" fillId="5" borderId="1" xfId="4" applyNumberFormat="1" applyFont="1" applyFill="1" applyBorder="1" applyAlignment="1">
      <alignment horizontal="center" vertical="center"/>
    </xf>
    <xf numFmtId="0" fontId="5" fillId="5" borderId="1" xfId="4" applyNumberFormat="1" applyFont="1" applyFill="1" applyBorder="1" applyAlignment="1">
      <alignment horizontal="center" vertical="center"/>
    </xf>
    <xf numFmtId="165" fontId="5" fillId="5" borderId="1" xfId="4" applyNumberFormat="1" applyFont="1" applyFill="1" applyBorder="1" applyAlignment="1">
      <alignment horizontal="center" vertical="center"/>
    </xf>
    <xf numFmtId="0" fontId="35" fillId="0" borderId="1" xfId="4" applyNumberFormat="1" applyFont="1" applyFill="1" applyBorder="1" applyAlignment="1">
      <alignment horizontal="right" vertical="center"/>
    </xf>
    <xf numFmtId="2" fontId="34" fillId="6" borderId="1" xfId="4" applyNumberFormat="1" applyFont="1" applyFill="1" applyBorder="1" applyAlignment="1">
      <alignment horizontal="center" vertical="center"/>
    </xf>
    <xf numFmtId="0" fontId="5" fillId="0" borderId="1" xfId="4" applyNumberFormat="1" applyFont="1" applyFill="1" applyBorder="1" applyAlignment="1">
      <alignment horizontal="left" vertical="center" wrapText="1"/>
    </xf>
    <xf numFmtId="0" fontId="5" fillId="6" borderId="1" xfId="0" applyNumberFormat="1" applyFont="1" applyFill="1" applyBorder="1" applyAlignment="1">
      <alignment horizontal="center" vertical="center"/>
    </xf>
    <xf numFmtId="165" fontId="5" fillId="6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 wrapText="1"/>
    </xf>
    <xf numFmtId="0" fontId="7" fillId="2" borderId="8" xfId="4" applyFont="1" applyFill="1" applyBorder="1"/>
    <xf numFmtId="0" fontId="39" fillId="4" borderId="1" xfId="0" applyFont="1" applyFill="1" applyBorder="1" applyAlignment="1">
      <alignment horizontal="center" vertical="center" wrapText="1"/>
    </xf>
    <xf numFmtId="0" fontId="31" fillId="2" borderId="0" xfId="226" applyFont="1" applyFill="1" applyBorder="1" applyAlignment="1">
      <alignment vertical="center"/>
    </xf>
    <xf numFmtId="0" fontId="40" fillId="2" borderId="0" xfId="226" applyFont="1" applyFill="1" applyBorder="1" applyAlignment="1">
      <alignment vertical="center" wrapText="1"/>
    </xf>
    <xf numFmtId="0" fontId="31" fillId="2" borderId="0" xfId="226" applyFont="1" applyFill="1"/>
    <xf numFmtId="0" fontId="41" fillId="2" borderId="0" xfId="0" applyFont="1" applyFill="1"/>
    <xf numFmtId="0" fontId="5" fillId="0" borderId="1" xfId="226" applyFont="1" applyFill="1" applyBorder="1" applyAlignment="1">
      <alignment horizontal="center" vertical="center"/>
    </xf>
    <xf numFmtId="0" fontId="35" fillId="0" borderId="1" xfId="226" applyFont="1" applyBorder="1" applyAlignment="1">
      <alignment horizontal="center" vertical="center"/>
    </xf>
    <xf numFmtId="164" fontId="6" fillId="0" borderId="1" xfId="226" applyNumberFormat="1" applyFont="1" applyFill="1" applyBorder="1" applyAlignment="1">
      <alignment horizontal="center" vertical="center"/>
    </xf>
    <xf numFmtId="164" fontId="6" fillId="0" borderId="1" xfId="226" applyNumberFormat="1" applyFont="1" applyBorder="1" applyAlignment="1">
      <alignment horizontal="center" vertical="center" wrapText="1"/>
    </xf>
    <xf numFmtId="0" fontId="5" fillId="2" borderId="0" xfId="226" applyFont="1" applyFill="1" applyBorder="1"/>
    <xf numFmtId="0" fontId="5" fillId="2" borderId="0" xfId="226" applyFont="1" applyFill="1"/>
    <xf numFmtId="0" fontId="33" fillId="2" borderId="0" xfId="226" applyFont="1" applyFill="1" applyAlignment="1">
      <alignment vertical="center"/>
    </xf>
    <xf numFmtId="0" fontId="6" fillId="2" borderId="0" xfId="226" applyFont="1" applyFill="1" applyAlignment="1">
      <alignment vertical="center"/>
    </xf>
    <xf numFmtId="0" fontId="35" fillId="2" borderId="0" xfId="226" applyFont="1" applyFill="1" applyBorder="1" applyAlignment="1">
      <alignment horizontal="center" vertical="center"/>
    </xf>
    <xf numFmtId="0" fontId="6" fillId="2" borderId="0" xfId="226" applyFont="1" applyFill="1" applyBorder="1" applyAlignment="1">
      <alignment horizontal="center" vertical="center"/>
    </xf>
    <xf numFmtId="0" fontId="35" fillId="2" borderId="1" xfId="226" applyFont="1" applyFill="1" applyBorder="1" applyAlignment="1">
      <alignment horizontal="left" vertical="center"/>
    </xf>
    <xf numFmtId="0" fontId="35" fillId="2" borderId="1" xfId="226" applyFont="1" applyFill="1" applyBorder="1" applyAlignment="1">
      <alignment horizontal="center" vertical="center"/>
    </xf>
    <xf numFmtId="0" fontId="35" fillId="2" borderId="1" xfId="226" applyFont="1" applyFill="1" applyBorder="1" applyAlignment="1">
      <alignment horizontal="left" vertical="center" wrapText="1"/>
    </xf>
    <xf numFmtId="0" fontId="39" fillId="4" borderId="2" xfId="0" applyFont="1" applyFill="1" applyBorder="1" applyAlignment="1">
      <alignment horizontal="center" vertical="center" wrapText="1"/>
    </xf>
    <xf numFmtId="0" fontId="39" fillId="4" borderId="6" xfId="0" applyFont="1" applyFill="1" applyBorder="1" applyAlignment="1">
      <alignment horizontal="center" vertical="center" wrapText="1"/>
    </xf>
    <xf numFmtId="0" fontId="39" fillId="4" borderId="3" xfId="0" applyFont="1" applyFill="1" applyBorder="1" applyAlignment="1">
      <alignment horizontal="center" vertical="center" wrapText="1"/>
    </xf>
    <xf numFmtId="0" fontId="39" fillId="4" borderId="4" xfId="0" applyFont="1" applyFill="1" applyBorder="1" applyAlignment="1">
      <alignment horizontal="center" vertical="center" wrapText="1"/>
    </xf>
    <xf numFmtId="0" fontId="39" fillId="4" borderId="7" xfId="0" applyFont="1" applyFill="1" applyBorder="1" applyAlignment="1">
      <alignment horizontal="center" vertical="center" wrapText="1"/>
    </xf>
    <xf numFmtId="0" fontId="39" fillId="4" borderId="5" xfId="0" applyFont="1" applyFill="1" applyBorder="1" applyAlignment="1">
      <alignment horizontal="center" vertical="center" wrapText="1"/>
    </xf>
    <xf numFmtId="0" fontId="6" fillId="0" borderId="1" xfId="226" applyFont="1" applyBorder="1" applyAlignment="1">
      <alignment horizontal="left" vertical="center" wrapText="1"/>
    </xf>
    <xf numFmtId="164" fontId="6" fillId="0" borderId="1" xfId="226" applyNumberFormat="1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5" fillId="0" borderId="1" xfId="226" applyFont="1" applyBorder="1" applyAlignment="1">
      <alignment vertical="center"/>
    </xf>
    <xf numFmtId="0" fontId="43" fillId="3" borderId="1" xfId="0" applyFont="1" applyFill="1" applyBorder="1" applyAlignment="1">
      <alignment horizontal="center" vertical="center"/>
    </xf>
    <xf numFmtId="0" fontId="33" fillId="0" borderId="1" xfId="226" applyFont="1" applyBorder="1" applyAlignment="1">
      <alignment horizontal="center" vertical="center" wrapText="1"/>
    </xf>
    <xf numFmtId="164" fontId="33" fillId="0" borderId="1" xfId="226" applyNumberFormat="1" applyFont="1" applyBorder="1" applyAlignment="1">
      <alignment horizontal="center" vertical="center" wrapText="1"/>
    </xf>
    <xf numFmtId="0" fontId="39" fillId="4" borderId="12" xfId="0" applyFont="1" applyFill="1" applyBorder="1" applyAlignment="1">
      <alignment horizontal="center" vertical="center" wrapText="1"/>
    </xf>
    <xf numFmtId="0" fontId="39" fillId="4" borderId="14" xfId="0" applyFont="1" applyFill="1" applyBorder="1" applyAlignment="1">
      <alignment horizontal="center" vertical="center" wrapText="1"/>
    </xf>
    <xf numFmtId="0" fontId="39" fillId="4" borderId="11" xfId="0" applyFont="1" applyFill="1" applyBorder="1" applyAlignment="1">
      <alignment horizontal="center" vertical="center" wrapText="1"/>
    </xf>
    <xf numFmtId="164" fontId="6" fillId="0" borderId="1" xfId="226" applyNumberFormat="1" applyFont="1" applyFill="1" applyBorder="1" applyAlignment="1">
      <alignment horizontal="center" vertical="center" wrapText="1"/>
    </xf>
    <xf numFmtId="0" fontId="5" fillId="0" borderId="2" xfId="226" applyFont="1" applyBorder="1" applyAlignment="1">
      <alignment horizontal="center" vertical="center" wrapText="1"/>
    </xf>
    <xf numFmtId="0" fontId="5" fillId="0" borderId="6" xfId="226" applyFont="1" applyBorder="1" applyAlignment="1">
      <alignment horizontal="center" vertical="center" wrapText="1"/>
    </xf>
    <xf numFmtId="0" fontId="5" fillId="0" borderId="3" xfId="226" applyFont="1" applyBorder="1" applyAlignment="1">
      <alignment horizontal="center" vertical="center" wrapText="1"/>
    </xf>
    <xf numFmtId="0" fontId="5" fillId="0" borderId="4" xfId="226" applyFont="1" applyBorder="1" applyAlignment="1">
      <alignment horizontal="center" vertical="center" wrapText="1"/>
    </xf>
    <xf numFmtId="0" fontId="5" fillId="0" borderId="7" xfId="226" applyFont="1" applyBorder="1" applyAlignment="1">
      <alignment horizontal="center" vertical="center" wrapText="1"/>
    </xf>
    <xf numFmtId="0" fontId="5" fillId="0" borderId="5" xfId="226" applyFont="1" applyBorder="1" applyAlignment="1">
      <alignment horizontal="center" vertical="center" wrapText="1"/>
    </xf>
    <xf numFmtId="3" fontId="6" fillId="0" borderId="1" xfId="226" applyNumberFormat="1" applyFont="1" applyBorder="1" applyAlignment="1">
      <alignment horizontal="center" vertical="center" wrapText="1"/>
    </xf>
    <xf numFmtId="0" fontId="6" fillId="0" borderId="12" xfId="226" applyFont="1" applyBorder="1" applyAlignment="1">
      <alignment horizontal="left" vertical="center" wrapText="1"/>
    </xf>
    <xf numFmtId="0" fontId="6" fillId="0" borderId="14" xfId="226" applyFont="1" applyBorder="1" applyAlignment="1">
      <alignment horizontal="left" vertical="center" wrapText="1"/>
    </xf>
    <xf numFmtId="0" fontId="6" fillId="0" borderId="11" xfId="226" applyFont="1" applyBorder="1" applyAlignment="1">
      <alignment horizontal="left" vertical="center" wrapText="1"/>
    </xf>
    <xf numFmtId="0" fontId="5" fillId="0" borderId="1" xfId="226" applyFont="1" applyBorder="1"/>
    <xf numFmtId="0" fontId="39" fillId="4" borderId="8" xfId="0" applyFont="1" applyFill="1" applyBorder="1" applyAlignment="1">
      <alignment horizontal="center" vertical="center" wrapText="1"/>
    </xf>
    <xf numFmtId="0" fontId="39" fillId="4" borderId="0" xfId="0" applyFont="1" applyFill="1" applyBorder="1" applyAlignment="1">
      <alignment horizontal="center" vertical="center" wrapText="1"/>
    </xf>
    <xf numFmtId="0" fontId="5" fillId="0" borderId="1" xfId="226" applyFont="1" applyBorder="1" applyAlignment="1">
      <alignment horizontal="center" vertical="center" wrapText="1"/>
    </xf>
    <xf numFmtId="0" fontId="6" fillId="0" borderId="1" xfId="226" applyFont="1" applyFill="1" applyBorder="1" applyAlignment="1">
      <alignment horizontal="left" vertical="center"/>
    </xf>
    <xf numFmtId="0" fontId="5" fillId="0" borderId="1" xfId="226" applyFont="1" applyFill="1" applyBorder="1" applyAlignment="1">
      <alignment horizontal="justify" vertical="center" wrapText="1"/>
    </xf>
    <xf numFmtId="164" fontId="33" fillId="53" borderId="1" xfId="226" applyNumberFormat="1" applyFont="1" applyFill="1" applyBorder="1" applyAlignment="1">
      <alignment horizontal="center" vertical="center" wrapText="1"/>
    </xf>
    <xf numFmtId="0" fontId="5" fillId="0" borderId="1" xfId="226" applyFont="1" applyFill="1" applyBorder="1" applyAlignment="1">
      <alignment horizontal="center" vertical="center" wrapText="1"/>
    </xf>
    <xf numFmtId="0" fontId="39" fillId="4" borderId="9" xfId="0" applyFont="1" applyFill="1" applyBorder="1" applyAlignment="1">
      <alignment horizontal="center" vertical="center" wrapText="1"/>
    </xf>
    <xf numFmtId="0" fontId="39" fillId="4" borderId="10" xfId="0" applyFont="1" applyFill="1" applyBorder="1" applyAlignment="1">
      <alignment horizontal="center" vertical="center" wrapText="1"/>
    </xf>
    <xf numFmtId="0" fontId="39" fillId="4" borderId="24" xfId="0" applyFont="1" applyFill="1" applyBorder="1" applyAlignment="1">
      <alignment horizontal="center" vertical="center" wrapText="1"/>
    </xf>
    <xf numFmtId="0" fontId="39" fillId="4" borderId="13" xfId="0" applyFont="1" applyFill="1" applyBorder="1" applyAlignment="1">
      <alignment horizontal="center" vertical="center" wrapText="1"/>
    </xf>
    <xf numFmtId="0" fontId="1" fillId="0" borderId="1" xfId="226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1" fillId="0" borderId="1" xfId="226" applyFont="1" applyFill="1" applyBorder="1" applyAlignment="1">
      <alignment horizontal="right" vertical="center" wrapText="1"/>
    </xf>
    <xf numFmtId="0" fontId="38" fillId="2" borderId="1" xfId="226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6" fillId="2" borderId="1" xfId="226" applyNumberFormat="1" applyFont="1" applyFill="1" applyBorder="1" applyAlignment="1">
      <alignment horizontal="center" vertical="center"/>
    </xf>
    <xf numFmtId="0" fontId="5" fillId="2" borderId="1" xfId="226" applyFont="1" applyFill="1" applyBorder="1" applyAlignment="1">
      <alignment horizontal="right" vertical="center" wrapText="1"/>
    </xf>
    <xf numFmtId="0" fontId="35" fillId="2" borderId="1" xfId="226" applyFont="1" applyFill="1" applyBorder="1" applyAlignment="1">
      <alignment horizontal="center" vertical="center"/>
    </xf>
    <xf numFmtId="164" fontId="6" fillId="55" borderId="1" xfId="226" applyNumberFormat="1" applyFont="1" applyFill="1" applyBorder="1" applyAlignment="1">
      <alignment horizontal="center" vertical="center"/>
    </xf>
    <xf numFmtId="0" fontId="42" fillId="2" borderId="10" xfId="226" applyFont="1" applyFill="1" applyBorder="1" applyAlignment="1">
      <alignment horizontal="left" vertical="center" wrapText="1" indent="1"/>
    </xf>
    <xf numFmtId="0" fontId="42" fillId="2" borderId="24" xfId="226" applyFont="1" applyFill="1" applyBorder="1" applyAlignment="1">
      <alignment horizontal="left" vertical="center" wrapText="1" indent="1"/>
    </xf>
    <xf numFmtId="0" fontId="42" fillId="2" borderId="13" xfId="226" applyFont="1" applyFill="1" applyBorder="1" applyAlignment="1">
      <alignment horizontal="left" vertical="center" wrapText="1" indent="1"/>
    </xf>
    <xf numFmtId="0" fontId="35" fillId="54" borderId="1" xfId="226" applyFont="1" applyFill="1" applyBorder="1" applyAlignment="1">
      <alignment horizontal="center" vertical="center"/>
    </xf>
    <xf numFmtId="0" fontId="5" fillId="2" borderId="1" xfId="226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14" fontId="32" fillId="2" borderId="6" xfId="4" applyNumberFormat="1" applyFont="1" applyFill="1" applyBorder="1" applyAlignment="1">
      <alignment horizontal="right" vertical="center" wrapText="1"/>
    </xf>
    <xf numFmtId="14" fontId="32" fillId="2" borderId="3" xfId="4" applyNumberFormat="1" applyFont="1" applyFill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34" fillId="0" borderId="1" xfId="4" applyNumberFormat="1" applyFont="1" applyFill="1" applyBorder="1" applyAlignment="1">
      <alignment horizontal="left" vertical="center" wrapText="1"/>
    </xf>
    <xf numFmtId="0" fontId="5" fillId="0" borderId="1" xfId="4" applyNumberFormat="1" applyFont="1" applyFill="1" applyBorder="1" applyAlignment="1">
      <alignment horizontal="left" vertical="center" wrapText="1"/>
    </xf>
    <xf numFmtId="0" fontId="35" fillId="0" borderId="1" xfId="4" applyNumberFormat="1" applyFont="1" applyFill="1" applyBorder="1" applyAlignment="1">
      <alignment vertical="center"/>
    </xf>
    <xf numFmtId="0" fontId="5" fillId="0" borderId="1" xfId="4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left" vertical="center"/>
    </xf>
    <xf numFmtId="0" fontId="35" fillId="0" borderId="1" xfId="4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35" fillId="0" borderId="1" xfId="0" applyNumberFormat="1" applyFont="1" applyFill="1" applyBorder="1"/>
    <xf numFmtId="0" fontId="44" fillId="9" borderId="1" xfId="4" applyFont="1" applyFill="1" applyBorder="1" applyAlignment="1">
      <alignment horizontal="center" vertical="center"/>
    </xf>
    <xf numFmtId="0" fontId="43" fillId="3" borderId="12" xfId="0" applyFont="1" applyFill="1" applyBorder="1" applyAlignment="1">
      <alignment horizontal="center" vertical="center"/>
    </xf>
    <xf numFmtId="0" fontId="43" fillId="3" borderId="14" xfId="0" applyFont="1" applyFill="1" applyBorder="1" applyAlignment="1">
      <alignment horizontal="center" vertical="center"/>
    </xf>
    <xf numFmtId="0" fontId="43" fillId="3" borderId="11" xfId="0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left" vertical="center"/>
    </xf>
  </cellXfs>
  <cellStyles count="371">
    <cellStyle name=" 1" xfId="5"/>
    <cellStyle name="_~1613671" xfId="6"/>
    <cellStyle name="_~1613671 2" xfId="7"/>
    <cellStyle name="_~1613671 3" xfId="8"/>
    <cellStyle name="_~1613671 4" xfId="9"/>
    <cellStyle name="_~7644457" xfId="10"/>
    <cellStyle name="_~7644457 2" xfId="11"/>
    <cellStyle name="_~7644457 3" xfId="12"/>
    <cellStyle name="_~7644457 4" xfId="13"/>
    <cellStyle name="_Книга2" xfId="14"/>
    <cellStyle name="_Книга2 2" xfId="15"/>
    <cellStyle name="_Книга2 3" xfId="16"/>
    <cellStyle name="_Книга2 4" xfId="17"/>
    <cellStyle name="_лестницы" xfId="18"/>
    <cellStyle name="_лестницы 2" xfId="19"/>
    <cellStyle name="_лестницы 3" xfId="20"/>
    <cellStyle name="_лестницы 4" xfId="21"/>
    <cellStyle name="_прайс-лист розница" xfId="22"/>
    <cellStyle name="_прайс-лист розница 2" xfId="23"/>
    <cellStyle name="_прайс-лист розница 3" xfId="24"/>
    <cellStyle name="_прайс-лист розница 4" xfId="25"/>
    <cellStyle name="_price_der_nov_раб" xfId="26"/>
    <cellStyle name="_price_der_nov_раб_~2260219" xfId="27"/>
    <cellStyle name="_price_der_nov_раб_~2260219 2" xfId="28"/>
    <cellStyle name="_price_der_nov_раб_~2260219_~2131575" xfId="29"/>
    <cellStyle name="_price_der_nov_раб_~2260219_Дилерский прайс-лист 03.03.14 Единый+Q35" xfId="30"/>
    <cellStyle name="_price_der_nov_раб_~2260219_Макет временных" xfId="31"/>
    <cellStyle name="_price_der_nov_раб_~2260219_Прайс полный ассортимент Центр от 09.07" xfId="32"/>
    <cellStyle name="_price_der_nov_раб_~2260219_Розничный прайс-лист 03.03.14" xfId="33"/>
    <cellStyle name="_price_der_nov_раб_~2260219_Розничный прайс-лист 07.04.14" xfId="34"/>
    <cellStyle name="_price_der_nov_раб_~2260219_Цокольные панели Ванштайн" xfId="35"/>
    <cellStyle name="_price_der_nov_раб_~2260219_Цокольные панели Ванштайн 2" xfId="36"/>
    <cellStyle name="_price_der_nov_раб_~2260219_Decra" xfId="37"/>
    <cellStyle name="_price_der_nov_раб_~2260219_Vilpe" xfId="38"/>
    <cellStyle name="_price_der_nov_раб_~6447645" xfId="39"/>
    <cellStyle name="_price_der_nov_раб_дилерский прайс - лист 17.02.12 ПИТЕР" xfId="40"/>
    <cellStyle name="_price_der_nov_раб_дилерский прайс - лист 18.04.12" xfId="41"/>
    <cellStyle name="_price_der_nov_раб_Прайс для Краснодара 2" xfId="42"/>
    <cellStyle name="_price_der_nov_раб_Прайс полный ассортимент 22.12.2010  Центр" xfId="43"/>
    <cellStyle name="_price_der_nov_раб_Прайс полный ассортимент от 06.02.12 Одинцово" xfId="44"/>
    <cellStyle name="_price_der_nov_раб_Прайс полный ассортимент от 06.02.12 Центр" xfId="45"/>
    <cellStyle name="_price_der_nov_раб_Прайс полный ассортимент от 19.10.2011 Центр" xfId="46"/>
    <cellStyle name="_price_der_nov_раб_Прайс полный ассортимент СПБ  от 22.08.12 Ворота + фигурный профнастил" xfId="47"/>
    <cellStyle name="_price_der_nov_раб_Прайс полный ассортимент Центр от 01.06.12" xfId="48"/>
    <cellStyle name="_price_der_nov_раб_Прайс полный ассортимент Центр от 06.08.12" xfId="49"/>
    <cellStyle name="_price_der_nov_раб_Прайс полный ассортимент Центр от 22.08.12 Ворота + фигурный профнастил" xfId="50"/>
    <cellStyle name="_price_der_nov_раб_Прайс полный ассортимент Центр от 29.06.12" xfId="51"/>
    <cellStyle name="_price_der_nov_раб_GL розничный прайс Краснодар - 03.09.12" xfId="52"/>
    <cellStyle name="-15-1976" xfId="53"/>
    <cellStyle name="-15-1976 2" xfId="54"/>
    <cellStyle name="-15-1976 3" xfId="55"/>
    <cellStyle name="-15-1976 4" xfId="56"/>
    <cellStyle name="20% - Акцент1 2" xfId="57"/>
    <cellStyle name="20% - Акцент1 2 2" xfId="58"/>
    <cellStyle name="20% - Акцент1 2 3" xfId="59"/>
    <cellStyle name="20% - Акцент1 2 4" xfId="60"/>
    <cellStyle name="20% - Акцент1 3" xfId="61"/>
    <cellStyle name="20% - Акцент2 2" xfId="62"/>
    <cellStyle name="20% - Акцент2 2 2" xfId="63"/>
    <cellStyle name="20% - Акцент2 2 3" xfId="64"/>
    <cellStyle name="20% - Акцент2 2 4" xfId="65"/>
    <cellStyle name="20% - Акцент2 3" xfId="66"/>
    <cellStyle name="20% - Акцент3 2" xfId="67"/>
    <cellStyle name="20% - Акцент3 2 2" xfId="68"/>
    <cellStyle name="20% - Акцент3 2 3" xfId="69"/>
    <cellStyle name="20% - Акцент3 2 4" xfId="70"/>
    <cellStyle name="20% - Акцент3 3" xfId="71"/>
    <cellStyle name="20% - Акцент4 2" xfId="72"/>
    <cellStyle name="20% - Акцент4 2 2" xfId="73"/>
    <cellStyle name="20% - Акцент4 2 3" xfId="74"/>
    <cellStyle name="20% - Акцент4 2 4" xfId="75"/>
    <cellStyle name="20% - Акцент4 3" xfId="76"/>
    <cellStyle name="20% - Акцент5 2" xfId="77"/>
    <cellStyle name="20% - Акцент5 2 2" xfId="78"/>
    <cellStyle name="20% - Акцент5 2 3" xfId="79"/>
    <cellStyle name="20% - Акцент5 2 4" xfId="80"/>
    <cellStyle name="20% - Акцент5 3" xfId="81"/>
    <cellStyle name="20% - Акцент6 2" xfId="82"/>
    <cellStyle name="20% - Акцент6 2 2" xfId="83"/>
    <cellStyle name="20% - Акцент6 2 3" xfId="84"/>
    <cellStyle name="20% - Акцент6 2 4" xfId="85"/>
    <cellStyle name="20% - Акцент6 3" xfId="86"/>
    <cellStyle name="40% - Акцент1 2" xfId="87"/>
    <cellStyle name="40% - Акцент1 2 2" xfId="88"/>
    <cellStyle name="40% - Акцент1 2 3" xfId="89"/>
    <cellStyle name="40% - Акцент1 2 4" xfId="90"/>
    <cellStyle name="40% - Акцент1 3" xfId="91"/>
    <cellStyle name="40% - Акцент2 2" xfId="92"/>
    <cellStyle name="40% - Акцент2 2 2" xfId="93"/>
    <cellStyle name="40% - Акцент2 2 3" xfId="94"/>
    <cellStyle name="40% - Акцент2 2 4" xfId="95"/>
    <cellStyle name="40% - Акцент2 3" xfId="96"/>
    <cellStyle name="40% - Акцент3 2" xfId="97"/>
    <cellStyle name="40% - Акцент3 2 2" xfId="98"/>
    <cellStyle name="40% - Акцент3 2 3" xfId="99"/>
    <cellStyle name="40% - Акцент3 2 4" xfId="100"/>
    <cellStyle name="40% - Акцент3 3" xfId="101"/>
    <cellStyle name="40% - Акцент4 2" xfId="102"/>
    <cellStyle name="40% - Акцент4 2 2" xfId="103"/>
    <cellStyle name="40% - Акцент4 2 3" xfId="104"/>
    <cellStyle name="40% - Акцент4 2 4" xfId="105"/>
    <cellStyle name="40% - Акцент4 3" xfId="106"/>
    <cellStyle name="40% - Акцент5 2" xfId="107"/>
    <cellStyle name="40% - Акцент5 2 2" xfId="108"/>
    <cellStyle name="40% - Акцент5 2 3" xfId="109"/>
    <cellStyle name="40% - Акцент5 2 4" xfId="110"/>
    <cellStyle name="40% - Акцент5 3" xfId="111"/>
    <cellStyle name="40% - Акцент6 2" xfId="112"/>
    <cellStyle name="40% - Акцент6 2 2" xfId="113"/>
    <cellStyle name="40% - Акцент6 2 3" xfId="114"/>
    <cellStyle name="40% - Акцент6 2 4" xfId="115"/>
    <cellStyle name="40% - Акцент6 3" xfId="116"/>
    <cellStyle name="60% - Акцент1 2" xfId="117"/>
    <cellStyle name="60% - Акцент1 2 2" xfId="118"/>
    <cellStyle name="60% - Акцент1 2 3" xfId="119"/>
    <cellStyle name="60% - Акцент1 2 4" xfId="120"/>
    <cellStyle name="60% - Акцент1 3" xfId="121"/>
    <cellStyle name="60% - Акцент2 2" xfId="122"/>
    <cellStyle name="60% - Акцент2 2 2" xfId="123"/>
    <cellStyle name="60% - Акцент2 2 3" xfId="124"/>
    <cellStyle name="60% - Акцент2 2 4" xfId="125"/>
    <cellStyle name="60% - Акцент2 3" xfId="126"/>
    <cellStyle name="60% - Акцент3 2" xfId="127"/>
    <cellStyle name="60% - Акцент3 2 2" xfId="128"/>
    <cellStyle name="60% - Акцент3 2 3" xfId="129"/>
    <cellStyle name="60% - Акцент3 2 4" xfId="130"/>
    <cellStyle name="60% - Акцент3 3" xfId="131"/>
    <cellStyle name="60% - Акцент4 2" xfId="132"/>
    <cellStyle name="60% - Акцент4 2 2" xfId="133"/>
    <cellStyle name="60% - Акцент4 2 3" xfId="134"/>
    <cellStyle name="60% - Акцент4 2 4" xfId="135"/>
    <cellStyle name="60% - Акцент4 3" xfId="136"/>
    <cellStyle name="60% - Акцент5 2" xfId="137"/>
    <cellStyle name="60% - Акцент5 2 2" xfId="138"/>
    <cellStyle name="60% - Акцент5 2 3" xfId="139"/>
    <cellStyle name="60% - Акцент5 2 4" xfId="140"/>
    <cellStyle name="60% - Акцент5 3" xfId="141"/>
    <cellStyle name="60% - Акцент6 2" xfId="142"/>
    <cellStyle name="60% - Акцент6 2 2" xfId="143"/>
    <cellStyle name="60% - Акцент6 2 3" xfId="144"/>
    <cellStyle name="60% - Акцент6 2 4" xfId="145"/>
    <cellStyle name="60% - Акцент6 3" xfId="146"/>
    <cellStyle name="Акцент1 2" xfId="147"/>
    <cellStyle name="Акцент1 2 2" xfId="148"/>
    <cellStyle name="Акцент1 2 3" xfId="149"/>
    <cellStyle name="Акцент1 2 4" xfId="150"/>
    <cellStyle name="Акцент1 3" xfId="151"/>
    <cellStyle name="Акцент2 2" xfId="152"/>
    <cellStyle name="Акцент2 2 2" xfId="153"/>
    <cellStyle name="Акцент2 2 3" xfId="154"/>
    <cellStyle name="Акцент2 2 4" xfId="155"/>
    <cellStyle name="Акцент2 3" xfId="156"/>
    <cellStyle name="Акцент3 2" xfId="157"/>
    <cellStyle name="Акцент3 2 2" xfId="158"/>
    <cellStyle name="Акцент3 2 3" xfId="159"/>
    <cellStyle name="Акцент3 2 4" xfId="160"/>
    <cellStyle name="Акцент3 3" xfId="161"/>
    <cellStyle name="Акцент4 2" xfId="162"/>
    <cellStyle name="Акцент4 2 2" xfId="163"/>
    <cellStyle name="Акцент4 2 3" xfId="164"/>
    <cellStyle name="Акцент4 2 4" xfId="165"/>
    <cellStyle name="Акцент4 3" xfId="166"/>
    <cellStyle name="Акцент5 2" xfId="167"/>
    <cellStyle name="Акцент5 2 2" xfId="168"/>
    <cellStyle name="Акцент5 2 3" xfId="169"/>
    <cellStyle name="Акцент5 2 4" xfId="170"/>
    <cellStyle name="Акцент5 3" xfId="171"/>
    <cellStyle name="Акцент6 2" xfId="172"/>
    <cellStyle name="Акцент6 2 2" xfId="173"/>
    <cellStyle name="Акцент6 2 3" xfId="174"/>
    <cellStyle name="Акцент6 2 4" xfId="175"/>
    <cellStyle name="Акцент6 3" xfId="176"/>
    <cellStyle name="Ввод  2" xfId="177"/>
    <cellStyle name="Ввод  2 2" xfId="178"/>
    <cellStyle name="Ввод  2 3" xfId="179"/>
    <cellStyle name="Ввод  2 4" xfId="180"/>
    <cellStyle name="Ввод  3" xfId="181"/>
    <cellStyle name="Вывод 2" xfId="182"/>
    <cellStyle name="Вывод 2 2" xfId="183"/>
    <cellStyle name="Вывод 2 3" xfId="184"/>
    <cellStyle name="Вывод 2 4" xfId="185"/>
    <cellStyle name="Вывод 3" xfId="186"/>
    <cellStyle name="Вычисление 2" xfId="187"/>
    <cellStyle name="Вычисление 2 2" xfId="188"/>
    <cellStyle name="Вычисление 2 3" xfId="189"/>
    <cellStyle name="Вычисление 2 4" xfId="190"/>
    <cellStyle name="Вычисление 3" xfId="191"/>
    <cellStyle name="Гиперссылка 2" xfId="3"/>
    <cellStyle name="Гиперссылка 3" xfId="192"/>
    <cellStyle name="Денежный 2" xfId="193"/>
    <cellStyle name="Заголовок 1 2" xfId="194"/>
    <cellStyle name="Заголовок 1 3" xfId="195"/>
    <cellStyle name="Заголовок 2 2" xfId="196"/>
    <cellStyle name="Заголовок 2 3" xfId="197"/>
    <cellStyle name="Заголовок 3 2" xfId="198"/>
    <cellStyle name="Заголовок 3 3" xfId="199"/>
    <cellStyle name="Заголовок 4 2" xfId="200"/>
    <cellStyle name="Заголовок 4 3" xfId="201"/>
    <cellStyle name="Заголовок сводной таблицы" xfId="202"/>
    <cellStyle name="Итог 2" xfId="203"/>
    <cellStyle name="Итог 3" xfId="204"/>
    <cellStyle name="Категория сводной таблицы" xfId="205"/>
    <cellStyle name="Контрольная ячейка 2" xfId="206"/>
    <cellStyle name="Контрольная ячейка 2 2" xfId="207"/>
    <cellStyle name="Контрольная ячейка 2 3" xfId="208"/>
    <cellStyle name="Контрольная ячейка 2 4" xfId="209"/>
    <cellStyle name="Контрольная ячейка 3" xfId="210"/>
    <cellStyle name="Название 2" xfId="211"/>
    <cellStyle name="Название 3" xfId="212"/>
    <cellStyle name="Нейтральный 2" xfId="213"/>
    <cellStyle name="Нейтральный 2 2" xfId="214"/>
    <cellStyle name="Нейтральный 2 3" xfId="215"/>
    <cellStyle name="Нейтральный 2 4" xfId="216"/>
    <cellStyle name="Нейтральный 3" xfId="217"/>
    <cellStyle name="Обычный" xfId="0" builtinId="0"/>
    <cellStyle name="Обычный 10" xfId="218"/>
    <cellStyle name="Обычный 10 2" xfId="219"/>
    <cellStyle name="Обычный 11" xfId="220"/>
    <cellStyle name="Обычный 11 2" xfId="221"/>
    <cellStyle name="Обычный 11 3" xfId="222"/>
    <cellStyle name="Обычный 12" xfId="223"/>
    <cellStyle name="Обычный 13" xfId="224"/>
    <cellStyle name="Обычный 14" xfId="225"/>
    <cellStyle name="Обычный 14 2" xfId="226"/>
    <cellStyle name="Обычный 15" xfId="227"/>
    <cellStyle name="Обычный 16" xfId="228"/>
    <cellStyle name="Обычный 17" xfId="229"/>
    <cellStyle name="Обычный 18" xfId="230"/>
    <cellStyle name="Обычный 19" xfId="231"/>
    <cellStyle name="Обычный 2" xfId="1"/>
    <cellStyle name="Обычный 2 2" xfId="2"/>
    <cellStyle name="Обычный 2 2 2" xfId="232"/>
    <cellStyle name="Обычный 2 3" xfId="233"/>
    <cellStyle name="Обычный 2 4" xfId="234"/>
    <cellStyle name="Обычный 2_Аквасток 1" xfId="235"/>
    <cellStyle name="Обычный 20" xfId="236"/>
    <cellStyle name="Обычный 21" xfId="237"/>
    <cellStyle name="Обычный 22" xfId="238"/>
    <cellStyle name="Обычный 23" xfId="239"/>
    <cellStyle name="Обычный 24" xfId="240"/>
    <cellStyle name="Обычный 25" xfId="241"/>
    <cellStyle name="Обычный 26" xfId="242"/>
    <cellStyle name="Обычный 3" xfId="4"/>
    <cellStyle name="Обычный 3 2" xfId="243"/>
    <cellStyle name="Обычный 30" xfId="244"/>
    <cellStyle name="Обычный 4" xfId="245"/>
    <cellStyle name="Обычный 4 2" xfId="246"/>
    <cellStyle name="Обычный 4 3" xfId="247"/>
    <cellStyle name="Обычный 4 4" xfId="248"/>
    <cellStyle name="Обычный 4_~2131575" xfId="249"/>
    <cellStyle name="Обычный 5" xfId="250"/>
    <cellStyle name="Обычный 6" xfId="251"/>
    <cellStyle name="Обычный 6 2" xfId="252"/>
    <cellStyle name="Обычный 6 3" xfId="253"/>
    <cellStyle name="Обычный 6 4" xfId="254"/>
    <cellStyle name="Обычный 6 5" xfId="255"/>
    <cellStyle name="Обычный 7" xfId="256"/>
    <cellStyle name="Обычный 7 2" xfId="257"/>
    <cellStyle name="Обычный 8" xfId="258"/>
    <cellStyle name="Обычный 8 2" xfId="259"/>
    <cellStyle name="Обычный 9" xfId="260"/>
    <cellStyle name="Обычный 9 10" xfId="261"/>
    <cellStyle name="Обычный 9 2" xfId="262"/>
    <cellStyle name="Обычный 9 3" xfId="263"/>
    <cellStyle name="Обычный 9 4" xfId="264"/>
    <cellStyle name="Обычный 9 5" xfId="265"/>
    <cellStyle name="Обычный 9 6" xfId="266"/>
    <cellStyle name="Обычный 9 7" xfId="267"/>
    <cellStyle name="Обычный 9 8" xfId="268"/>
    <cellStyle name="Обычный 9 9" xfId="269"/>
    <cellStyle name="Плохой 2" xfId="270"/>
    <cellStyle name="Плохой 2 2" xfId="271"/>
    <cellStyle name="Плохой 2 3" xfId="272"/>
    <cellStyle name="Плохой 2 4" xfId="273"/>
    <cellStyle name="Плохой 3" xfId="274"/>
    <cellStyle name="Пояснение 2" xfId="275"/>
    <cellStyle name="Пояснение 3" xfId="276"/>
    <cellStyle name="Примечание 2" xfId="277"/>
    <cellStyle name="Примечание 2 2" xfId="278"/>
    <cellStyle name="Примечание 2 3" xfId="279"/>
    <cellStyle name="Примечание 2 4" xfId="280"/>
    <cellStyle name="Примечание 3" xfId="281"/>
    <cellStyle name="Процентный 2" xfId="282"/>
    <cellStyle name="Процентный 2 2" xfId="283"/>
    <cellStyle name="Процентный 2 3" xfId="284"/>
    <cellStyle name="Процентный 2 4" xfId="285"/>
    <cellStyle name="Процентный 3" xfId="286"/>
    <cellStyle name="Процентный 3 2" xfId="287"/>
    <cellStyle name="Процентный 3 3" xfId="288"/>
    <cellStyle name="Процентный 3 4" xfId="289"/>
    <cellStyle name="Процентный 4" xfId="290"/>
    <cellStyle name="Процентный 4 2" xfId="291"/>
    <cellStyle name="Процентный 4 3" xfId="292"/>
    <cellStyle name="Процентный 5" xfId="293"/>
    <cellStyle name="Процентный 6" xfId="294"/>
    <cellStyle name="Связанная ячейка 2" xfId="295"/>
    <cellStyle name="Связанная ячейка 3" xfId="296"/>
    <cellStyle name="Стиль 1" xfId="297"/>
    <cellStyle name="Текст предупреждения 2" xfId="298"/>
    <cellStyle name="Текст предупреждения 3" xfId="299"/>
    <cellStyle name="Финансовый 2" xfId="300"/>
    <cellStyle name="Финансовый 2 2" xfId="301"/>
    <cellStyle name="Финансовый 2 2 2" xfId="302"/>
    <cellStyle name="Финансовый 2 2 2 2" xfId="303"/>
    <cellStyle name="Финансовый 2 2 2 2 2" xfId="304"/>
    <cellStyle name="Финансовый 2 2 2 2 2 2" xfId="305"/>
    <cellStyle name="Финансовый 2 3" xfId="306"/>
    <cellStyle name="Финансовый 2 4" xfId="307"/>
    <cellStyle name="Финансовый 3" xfId="308"/>
    <cellStyle name="Финансовый 3 2" xfId="309"/>
    <cellStyle name="Финансовый 3 3" xfId="310"/>
    <cellStyle name="Финансовый 3 4" xfId="311"/>
    <cellStyle name="Финансовый 4" xfId="312"/>
    <cellStyle name="Финансовый 4 2" xfId="313"/>
    <cellStyle name="Финансовый 4 3" xfId="314"/>
    <cellStyle name="Хороший 2" xfId="315"/>
    <cellStyle name="Хороший 2 2" xfId="316"/>
    <cellStyle name="Хороший 2 3" xfId="317"/>
    <cellStyle name="Хороший 2 4" xfId="318"/>
    <cellStyle name="Хороший 3" xfId="319"/>
    <cellStyle name="Euro" xfId="320"/>
    <cellStyle name="Euro 2" xfId="321"/>
    <cellStyle name="Euro 3" xfId="322"/>
    <cellStyle name="Euro 4" xfId="323"/>
    <cellStyle name="Excel Built-in Normal" xfId="324"/>
    <cellStyle name="Normal 2" xfId="325"/>
    <cellStyle name="Normal_Sheet1" xfId="326"/>
    <cellStyle name="Standaard 10" xfId="327"/>
    <cellStyle name="Standaard 10 2" xfId="328"/>
    <cellStyle name="Standaard 10 3" xfId="329"/>
    <cellStyle name="Standaard 10 4" xfId="330"/>
    <cellStyle name="Standaard 11" xfId="331"/>
    <cellStyle name="Standaard 11 2" xfId="332"/>
    <cellStyle name="Standaard 11 3" xfId="333"/>
    <cellStyle name="Standaard 11 4" xfId="334"/>
    <cellStyle name="Standaard 12" xfId="335"/>
    <cellStyle name="Standaard 12 2" xfId="336"/>
    <cellStyle name="Standaard 12 3" xfId="337"/>
    <cellStyle name="Standaard 12 4" xfId="338"/>
    <cellStyle name="Standaard 2" xfId="339"/>
    <cellStyle name="Standaard 2 2" xfId="340"/>
    <cellStyle name="Standaard 2 3" xfId="341"/>
    <cellStyle name="Standaard 2 4" xfId="342"/>
    <cellStyle name="Standaard 3" xfId="343"/>
    <cellStyle name="Standaard 3 2" xfId="344"/>
    <cellStyle name="Standaard 3 3" xfId="345"/>
    <cellStyle name="Standaard 3 4" xfId="346"/>
    <cellStyle name="Standaard 4" xfId="347"/>
    <cellStyle name="Standaard 4 2" xfId="348"/>
    <cellStyle name="Standaard 4 3" xfId="349"/>
    <cellStyle name="Standaard 4 4" xfId="350"/>
    <cellStyle name="Standaard 5" xfId="351"/>
    <cellStyle name="Standaard 5 2" xfId="352"/>
    <cellStyle name="Standaard 5 3" xfId="353"/>
    <cellStyle name="Standaard 5 4" xfId="354"/>
    <cellStyle name="Standaard 6" xfId="355"/>
    <cellStyle name="Standaard 6 2" xfId="356"/>
    <cellStyle name="Standaard 6 3" xfId="357"/>
    <cellStyle name="Standaard 6 4" xfId="358"/>
    <cellStyle name="Standaard 7" xfId="359"/>
    <cellStyle name="Standaard 7 2" xfId="360"/>
    <cellStyle name="Standaard 7 3" xfId="361"/>
    <cellStyle name="Standaard 7 4" xfId="362"/>
    <cellStyle name="Standaard 8" xfId="363"/>
    <cellStyle name="Standaard 8 2" xfId="364"/>
    <cellStyle name="Standaard 8 3" xfId="365"/>
    <cellStyle name="Standaard 8 4" xfId="366"/>
    <cellStyle name="Standaard 9" xfId="367"/>
    <cellStyle name="Standaard 9 2" xfId="368"/>
    <cellStyle name="Standaard 9 3" xfId="369"/>
    <cellStyle name="Standaard 9 4" xfId="370"/>
  </cellStyles>
  <dxfs count="2">
    <dxf>
      <fill>
        <patternFill patternType="solid">
          <bgColor theme="0"/>
        </patternFill>
      </fill>
    </dxf>
    <dxf>
      <fill>
        <patternFill>
          <bgColor theme="2"/>
        </patternFill>
      </fill>
    </dxf>
  </dxfs>
  <tableStyles count="1" defaultTableStyle="TableStyleMedium2" defaultPivotStyle="PivotStyleLight16">
    <tableStyle name="Валмикров" pivot="0" count="2"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jpeg"/><Relationship Id="rId20" Type="http://schemas.openxmlformats.org/officeDocument/2006/relationships/image" Target="../media/image20.png"/><Relationship Id="rId21" Type="http://schemas.openxmlformats.org/officeDocument/2006/relationships/image" Target="../media/image21.jp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png"/><Relationship Id="rId15" Type="http://schemas.openxmlformats.org/officeDocument/2006/relationships/image" Target="../media/image15.jpeg"/><Relationship Id="rId16" Type="http://schemas.openxmlformats.org/officeDocument/2006/relationships/image" Target="../media/image16.png"/><Relationship Id="rId17" Type="http://schemas.openxmlformats.org/officeDocument/2006/relationships/image" Target="../media/image17.png"/><Relationship Id="rId18" Type="http://schemas.openxmlformats.org/officeDocument/2006/relationships/image" Target="../media/image18.png"/><Relationship Id="rId19" Type="http://schemas.openxmlformats.org/officeDocument/2006/relationships/image" Target="../media/image19.png"/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0.png"/><Relationship Id="rId4" Type="http://schemas.openxmlformats.org/officeDocument/2006/relationships/image" Target="../media/image21.jpg"/><Relationship Id="rId1" Type="http://schemas.openxmlformats.org/officeDocument/2006/relationships/image" Target="../media/image22.jpeg"/><Relationship Id="rId2" Type="http://schemas.openxmlformats.org/officeDocument/2006/relationships/image" Target="../media/image2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Relationship Id="rId2" Type="http://schemas.openxmlformats.org/officeDocument/2006/relationships/image" Target="../media/image2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64</xdr:row>
      <xdr:rowOff>63500</xdr:rowOff>
    </xdr:from>
    <xdr:to>
      <xdr:col>7</xdr:col>
      <xdr:colOff>368300</xdr:colOff>
      <xdr:row>65</xdr:row>
      <xdr:rowOff>254000</xdr:rowOff>
    </xdr:to>
    <xdr:pic>
      <xdr:nvPicPr>
        <xdr:cNvPr id="2" name="Изображения 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5600" y="20421600"/>
          <a:ext cx="1524000" cy="508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101600</xdr:colOff>
      <xdr:row>27</xdr:row>
      <xdr:rowOff>63500</xdr:rowOff>
    </xdr:from>
    <xdr:to>
      <xdr:col>7</xdr:col>
      <xdr:colOff>482600</xdr:colOff>
      <xdr:row>28</xdr:row>
      <xdr:rowOff>152400</xdr:rowOff>
    </xdr:to>
    <xdr:pic>
      <xdr:nvPicPr>
        <xdr:cNvPr id="3" name="Изображения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11442700"/>
          <a:ext cx="152400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101600</xdr:colOff>
      <xdr:row>34</xdr:row>
      <xdr:rowOff>63500</xdr:rowOff>
    </xdr:from>
    <xdr:to>
      <xdr:col>8</xdr:col>
      <xdr:colOff>381000</xdr:colOff>
      <xdr:row>35</xdr:row>
      <xdr:rowOff>228600</xdr:rowOff>
    </xdr:to>
    <xdr:pic>
      <xdr:nvPicPr>
        <xdr:cNvPr id="4" name="Изображения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2954000"/>
          <a:ext cx="1422400" cy="419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50800</xdr:colOff>
      <xdr:row>34</xdr:row>
      <xdr:rowOff>88900</xdr:rowOff>
    </xdr:from>
    <xdr:to>
      <xdr:col>6</xdr:col>
      <xdr:colOff>330200</xdr:colOff>
      <xdr:row>35</xdr:row>
      <xdr:rowOff>215900</xdr:rowOff>
    </xdr:to>
    <xdr:pic>
      <xdr:nvPicPr>
        <xdr:cNvPr id="5" name="Изображения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6300" y="12979400"/>
          <a:ext cx="14224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622300</xdr:colOff>
      <xdr:row>40</xdr:row>
      <xdr:rowOff>152400</xdr:rowOff>
    </xdr:from>
    <xdr:to>
      <xdr:col>7</xdr:col>
      <xdr:colOff>647700</xdr:colOff>
      <xdr:row>41</xdr:row>
      <xdr:rowOff>215900</xdr:rowOff>
    </xdr:to>
    <xdr:pic>
      <xdr:nvPicPr>
        <xdr:cNvPr id="6" name="Изображения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4541500"/>
          <a:ext cx="2044700" cy="444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4</xdr:col>
      <xdr:colOff>584200</xdr:colOff>
      <xdr:row>46</xdr:row>
      <xdr:rowOff>76200</xdr:rowOff>
    </xdr:from>
    <xdr:to>
      <xdr:col>7</xdr:col>
      <xdr:colOff>571500</xdr:colOff>
      <xdr:row>47</xdr:row>
      <xdr:rowOff>330200</xdr:rowOff>
    </xdr:to>
    <xdr:pic>
      <xdr:nvPicPr>
        <xdr:cNvPr id="7" name="Изображения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6078200"/>
          <a:ext cx="2006600" cy="635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139700</xdr:colOff>
      <xdr:row>58</xdr:row>
      <xdr:rowOff>139700</xdr:rowOff>
    </xdr:from>
    <xdr:to>
      <xdr:col>7</xdr:col>
      <xdr:colOff>457200</xdr:colOff>
      <xdr:row>59</xdr:row>
      <xdr:rowOff>215900</xdr:rowOff>
    </xdr:to>
    <xdr:pic>
      <xdr:nvPicPr>
        <xdr:cNvPr id="8" name="Изображения 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9011900"/>
          <a:ext cx="1663700" cy="393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101600</xdr:colOff>
      <xdr:row>14</xdr:row>
      <xdr:rowOff>50800</xdr:rowOff>
    </xdr:from>
    <xdr:to>
      <xdr:col>9</xdr:col>
      <xdr:colOff>317500</xdr:colOff>
      <xdr:row>14</xdr:row>
      <xdr:rowOff>673100</xdr:rowOff>
    </xdr:to>
    <xdr:pic>
      <xdr:nvPicPr>
        <xdr:cNvPr id="9" name="Изображения 2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3352800"/>
          <a:ext cx="1562100" cy="622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381000</xdr:colOff>
      <xdr:row>15</xdr:row>
      <xdr:rowOff>38100</xdr:rowOff>
    </xdr:from>
    <xdr:to>
      <xdr:col>9</xdr:col>
      <xdr:colOff>622300</xdr:colOff>
      <xdr:row>15</xdr:row>
      <xdr:rowOff>647700</xdr:rowOff>
    </xdr:to>
    <xdr:pic>
      <xdr:nvPicPr>
        <xdr:cNvPr id="10" name="Изображения 4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9200" y="4038600"/>
          <a:ext cx="226060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139700</xdr:colOff>
      <xdr:row>18</xdr:row>
      <xdr:rowOff>50800</xdr:rowOff>
    </xdr:from>
    <xdr:to>
      <xdr:col>9</xdr:col>
      <xdr:colOff>482600</xdr:colOff>
      <xdr:row>18</xdr:row>
      <xdr:rowOff>647700</xdr:rowOff>
    </xdr:to>
    <xdr:pic>
      <xdr:nvPicPr>
        <xdr:cNvPr id="11" name="Изображения 6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7900" y="6146800"/>
          <a:ext cx="2362200" cy="59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317500</xdr:colOff>
      <xdr:row>22</xdr:row>
      <xdr:rowOff>127000</xdr:rowOff>
    </xdr:from>
    <xdr:to>
      <xdr:col>9</xdr:col>
      <xdr:colOff>571500</xdr:colOff>
      <xdr:row>22</xdr:row>
      <xdr:rowOff>685800</xdr:rowOff>
    </xdr:to>
    <xdr:pic>
      <xdr:nvPicPr>
        <xdr:cNvPr id="12" name="Изображения 8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5700" y="9017000"/>
          <a:ext cx="2273300" cy="558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393700</xdr:colOff>
      <xdr:row>23</xdr:row>
      <xdr:rowOff>63500</xdr:rowOff>
    </xdr:from>
    <xdr:to>
      <xdr:col>9</xdr:col>
      <xdr:colOff>723900</xdr:colOff>
      <xdr:row>23</xdr:row>
      <xdr:rowOff>673100</xdr:rowOff>
    </xdr:to>
    <xdr:pic>
      <xdr:nvPicPr>
        <xdr:cNvPr id="13" name="Изображения 10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1900" y="9677400"/>
          <a:ext cx="234950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431800</xdr:colOff>
      <xdr:row>20</xdr:row>
      <xdr:rowOff>25400</xdr:rowOff>
    </xdr:from>
    <xdr:to>
      <xdr:col>9</xdr:col>
      <xdr:colOff>241300</xdr:colOff>
      <xdr:row>20</xdr:row>
      <xdr:rowOff>622300</xdr:rowOff>
    </xdr:to>
    <xdr:pic>
      <xdr:nvPicPr>
        <xdr:cNvPr id="14" name="Изображения 12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00" y="7518400"/>
          <a:ext cx="1828800" cy="596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101600</xdr:colOff>
      <xdr:row>17</xdr:row>
      <xdr:rowOff>12700</xdr:rowOff>
    </xdr:from>
    <xdr:to>
      <xdr:col>9</xdr:col>
      <xdr:colOff>15933</xdr:colOff>
      <xdr:row>17</xdr:row>
      <xdr:rowOff>685800</xdr:rowOff>
    </xdr:to>
    <xdr:pic>
      <xdr:nvPicPr>
        <xdr:cNvPr id="15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2900" y="5410200"/>
          <a:ext cx="1260533" cy="6731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609600</xdr:colOff>
      <xdr:row>16</xdr:row>
      <xdr:rowOff>12700</xdr:rowOff>
    </xdr:from>
    <xdr:to>
      <xdr:col>9</xdr:col>
      <xdr:colOff>203200</xdr:colOff>
      <xdr:row>17</xdr:row>
      <xdr:rowOff>0</xdr:rowOff>
    </xdr:to>
    <xdr:pic>
      <xdr:nvPicPr>
        <xdr:cNvPr id="16" name="Изображения 14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4711700"/>
          <a:ext cx="1612900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558800</xdr:colOff>
      <xdr:row>21</xdr:row>
      <xdr:rowOff>50800</xdr:rowOff>
    </xdr:from>
    <xdr:to>
      <xdr:col>8</xdr:col>
      <xdr:colOff>330200</xdr:colOff>
      <xdr:row>21</xdr:row>
      <xdr:rowOff>711200</xdr:rowOff>
    </xdr:to>
    <xdr:pic>
      <xdr:nvPicPr>
        <xdr:cNvPr id="17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0100" y="8242300"/>
          <a:ext cx="444500" cy="6604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342900</xdr:colOff>
      <xdr:row>19</xdr:row>
      <xdr:rowOff>76200</xdr:rowOff>
    </xdr:from>
    <xdr:to>
      <xdr:col>9</xdr:col>
      <xdr:colOff>393700</xdr:colOff>
      <xdr:row>19</xdr:row>
      <xdr:rowOff>635000</xdr:rowOff>
    </xdr:to>
    <xdr:pic>
      <xdr:nvPicPr>
        <xdr:cNvPr id="18" name="Изображения 13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870700"/>
          <a:ext cx="2070100" cy="558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63500</xdr:colOff>
      <xdr:row>52</xdr:row>
      <xdr:rowOff>32796</xdr:rowOff>
    </xdr:from>
    <xdr:to>
      <xdr:col>7</xdr:col>
      <xdr:colOff>558800</xdr:colOff>
      <xdr:row>53</xdr:row>
      <xdr:rowOff>380301</xdr:rowOff>
    </xdr:to>
    <xdr:pic>
      <xdr:nvPicPr>
        <xdr:cNvPr id="19" name="Изображения 15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18841496"/>
          <a:ext cx="1841500" cy="72850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279400</xdr:colOff>
      <xdr:row>70</xdr:row>
      <xdr:rowOff>50800</xdr:rowOff>
    </xdr:from>
    <xdr:to>
      <xdr:col>7</xdr:col>
      <xdr:colOff>317500</xdr:colOff>
      <xdr:row>71</xdr:row>
      <xdr:rowOff>241300</xdr:rowOff>
    </xdr:to>
    <xdr:pic>
      <xdr:nvPicPr>
        <xdr:cNvPr id="20" name="Изображения 16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00" y="26670000"/>
          <a:ext cx="138430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7</xdr:col>
      <xdr:colOff>162812</xdr:colOff>
      <xdr:row>7</xdr:row>
      <xdr:rowOff>0</xdr:rowOff>
    </xdr:to>
    <xdr:pic>
      <xdr:nvPicPr>
        <xdr:cNvPr id="22" name="Изображение 21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38100" y="0"/>
          <a:ext cx="5446012" cy="1778000"/>
        </a:xfrm>
        <a:prstGeom prst="rect">
          <a:avLst/>
        </a:prstGeom>
      </xdr:spPr>
    </xdr:pic>
    <xdr:clientData/>
  </xdr:twoCellAnchor>
  <xdr:twoCellAnchor editAs="oneCell">
    <xdr:from>
      <xdr:col>8</xdr:col>
      <xdr:colOff>382877</xdr:colOff>
      <xdr:row>0</xdr:row>
      <xdr:rowOff>12700</xdr:rowOff>
    </xdr:from>
    <xdr:to>
      <xdr:col>19</xdr:col>
      <xdr:colOff>1128423</xdr:colOff>
      <xdr:row>7</xdr:row>
      <xdr:rowOff>2473</xdr:rowOff>
    </xdr:to>
    <xdr:pic>
      <xdr:nvPicPr>
        <xdr:cNvPr id="23" name="Изображение 22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7277" y="12700"/>
          <a:ext cx="9673646" cy="17677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495300</xdr:colOff>
      <xdr:row>7</xdr:row>
      <xdr:rowOff>152400</xdr:rowOff>
    </xdr:from>
    <xdr:to>
      <xdr:col>8</xdr:col>
      <xdr:colOff>495300</xdr:colOff>
      <xdr:row>9</xdr:row>
      <xdr:rowOff>381000</xdr:rowOff>
    </xdr:to>
    <xdr:pic>
      <xdr:nvPicPr>
        <xdr:cNvPr id="3" name="Рисунок 7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1700" y="3962400"/>
          <a:ext cx="2133600" cy="1143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533400</xdr:colOff>
      <xdr:row>11</xdr:row>
      <xdr:rowOff>139700</xdr:rowOff>
    </xdr:from>
    <xdr:to>
      <xdr:col>8</xdr:col>
      <xdr:colOff>533400</xdr:colOff>
      <xdr:row>20</xdr:row>
      <xdr:rowOff>190500</xdr:rowOff>
    </xdr:to>
    <xdr:pic>
      <xdr:nvPicPr>
        <xdr:cNvPr id="4" name="Рисунок 7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9800" y="5778500"/>
          <a:ext cx="2133600" cy="2336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645412</xdr:colOff>
      <xdr:row>2</xdr:row>
      <xdr:rowOff>0</xdr:rowOff>
    </xdr:to>
    <xdr:pic>
      <xdr:nvPicPr>
        <xdr:cNvPr id="7" name="Изображение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5446012" cy="1778000"/>
        </a:xfrm>
        <a:prstGeom prst="rect">
          <a:avLst/>
        </a:prstGeom>
      </xdr:spPr>
    </xdr:pic>
    <xdr:clientData/>
  </xdr:twoCellAnchor>
  <xdr:twoCellAnchor editAs="oneCell">
    <xdr:from>
      <xdr:col>2</xdr:col>
      <xdr:colOff>598777</xdr:colOff>
      <xdr:row>0</xdr:row>
      <xdr:rowOff>12700</xdr:rowOff>
    </xdr:from>
    <xdr:to>
      <xdr:col>14</xdr:col>
      <xdr:colOff>798223</xdr:colOff>
      <xdr:row>2</xdr:row>
      <xdr:rowOff>2473</xdr:rowOff>
    </xdr:to>
    <xdr:pic>
      <xdr:nvPicPr>
        <xdr:cNvPr id="8" name="Изображение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9377" y="12700"/>
          <a:ext cx="9673646" cy="17677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4</xdr:col>
      <xdr:colOff>391412</xdr:colOff>
      <xdr:row>7</xdr:row>
      <xdr:rowOff>0</xdr:rowOff>
    </xdr:to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"/>
          <a:ext cx="5446012" cy="1778000"/>
        </a:xfrm>
        <a:prstGeom prst="rect">
          <a:avLst/>
        </a:prstGeom>
      </xdr:spPr>
    </xdr:pic>
    <xdr:clientData/>
  </xdr:twoCellAnchor>
  <xdr:twoCellAnchor editAs="oneCell">
    <xdr:from>
      <xdr:col>7</xdr:col>
      <xdr:colOff>205078</xdr:colOff>
      <xdr:row>0</xdr:row>
      <xdr:rowOff>25400</xdr:rowOff>
    </xdr:from>
    <xdr:to>
      <xdr:col>19</xdr:col>
      <xdr:colOff>734724</xdr:colOff>
      <xdr:row>7</xdr:row>
      <xdr:rowOff>2473</xdr:rowOff>
    </xdr:to>
    <xdr:pic>
      <xdr:nvPicPr>
        <xdr:cNvPr id="3" name="Изображение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45678" y="25400"/>
          <a:ext cx="9673646" cy="176777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6;&#1086;&#1073;&#1086;&#1088;&#1085;&#1099;&#1077;%20&#1101;&#1083;-&#1090;&#1099;%20&#1076;&#1083;&#1103;%20&#1082;&#1088;&#1086;&#1074;&#1083;&#1080;%20&#1075;&#1088;&#1072;&#1085;&#1076;%20&#1083;&#1072;&#1080;&#774;&#10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 прайса"/>
      <sheetName val="АКЦИИ на металл"/>
      <sheetName val="Распродажи"/>
      <sheetName val="Вся профилировка (ч1)"/>
      <sheetName val="Вся профилировка (ч2)"/>
      <sheetName val="Вся профилировка (Примечания)"/>
      <sheetName val="1_1_КРОВЛЯ"/>
      <sheetName val="1_2_Доборные элементы кровли_О"/>
      <sheetName val="1_3_Доборные элементы кровли"/>
      <sheetName val="1_4_Битумная черепица 1"/>
      <sheetName val="1_5_Битумная черепица 2"/>
      <sheetName val="1_6_Битумная черепица 3"/>
      <sheetName val="1_7_Битумные материалы"/>
      <sheetName val="1_8_Композит черепица GL"/>
      <sheetName val="1_9_Композит черепица Decra"/>
      <sheetName val="1_10_Черепица Luxard"/>
      <sheetName val="1_11_Черепица Metrotile "/>
      <sheetName val="1_12_ЦПЧ и Керамика"/>
      <sheetName val="1_13_ЭБК GL"/>
      <sheetName val="1_14_ЭБК Optima"/>
      <sheetName val="1_15_Vilpe"/>
      <sheetName val="1_16_Krovent и ТехноНиколь"/>
      <sheetName val="1_17_Проходки MasterFlash "/>
      <sheetName val="1_18_Fakro"/>
      <sheetName val="1_19_VELUX OPTIMA"/>
      <sheetName val="1_20_VELUX PREMIUM"/>
      <sheetName val="1_21_Дымники_колпаки_кожухи"/>
      <sheetName val="2_1_Водосток GL"/>
      <sheetName val="2_2_Водосток Vortex_Optima"/>
      <sheetName val="2_3_Водосток ПВХ GL"/>
      <sheetName val="3_1_ЦИНК"/>
      <sheetName val="4_1_ФАСАД"/>
      <sheetName val="4_2_Доборные элементы Фасад"/>
      <sheetName val="4_3_Виниловый сайдинг"/>
      <sheetName val="4_4_Декор эл-ты Mid-America"/>
      <sheetName val="4_5_Фасадные панели GL"/>
      <sheetName val="4_6_Фасадные панели"/>
      <sheetName val="4_7_Фиброцементный сайдинг"/>
      <sheetName val="4_8_ГК-профиль"/>
      <sheetName val="4_9_Навесная фасадная система"/>
      <sheetName val="5_1_ЗАБОРЫ"/>
      <sheetName val="5_2_Панельные ограждения"/>
      <sheetName val="5_3_Эл-ты панельных ограждений"/>
      <sheetName val="5_4_Модульные ограждения GL"/>
      <sheetName val="5_5_Временные огр и Рулон сетка"/>
      <sheetName val="5_6_Откат. ворота"/>
      <sheetName val="5_7_Распашные ворота и калитки"/>
      <sheetName val="5_8_Эл-ты ограждений Locinox"/>
      <sheetName val="6_1_Гидро-пароизоляция"/>
      <sheetName val="6_2_Комплектующие "/>
      <sheetName val="6_3_Крепеж"/>
      <sheetName val="6_4_Утеплители"/>
      <sheetName val="6_5_Carbon и Planter"/>
      <sheetName val="6_6_Инструменты"/>
      <sheetName val="6_7_Инструменты 2"/>
      <sheetName val="7_1_Террасная доска MasterDeck"/>
      <sheetName val="7_2_Водоотвод_и_Теплицы"/>
      <sheetName val="7_3_Таблички и Флюгеры"/>
      <sheetName val="8_УПАКОВКА"/>
      <sheetName val="Це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4">
          <cell r="F4">
            <v>678</v>
          </cell>
          <cell r="H4">
            <v>704</v>
          </cell>
          <cell r="J4">
            <v>821</v>
          </cell>
          <cell r="L4">
            <v>821</v>
          </cell>
          <cell r="N4">
            <v>729</v>
          </cell>
          <cell r="P4">
            <v>703</v>
          </cell>
          <cell r="R4">
            <v>626</v>
          </cell>
          <cell r="T4">
            <v>937</v>
          </cell>
          <cell r="V4">
            <v>901</v>
          </cell>
          <cell r="X4">
            <v>578</v>
          </cell>
          <cell r="Z4">
            <v>515</v>
          </cell>
          <cell r="AB4">
            <v>482</v>
          </cell>
          <cell r="AJ4">
            <v>434</v>
          </cell>
          <cell r="AN4">
            <v>465</v>
          </cell>
        </row>
        <row r="5">
          <cell r="F5">
            <v>678</v>
          </cell>
          <cell r="H5">
            <v>704</v>
          </cell>
          <cell r="J5">
            <v>821</v>
          </cell>
          <cell r="L5">
            <v>821</v>
          </cell>
          <cell r="N5">
            <v>729</v>
          </cell>
          <cell r="P5">
            <v>703</v>
          </cell>
          <cell r="R5">
            <v>626</v>
          </cell>
          <cell r="T5">
            <v>937</v>
          </cell>
          <cell r="V5">
            <v>901</v>
          </cell>
          <cell r="X5">
            <v>578</v>
          </cell>
          <cell r="Z5">
            <v>515</v>
          </cell>
          <cell r="AB5">
            <v>482</v>
          </cell>
          <cell r="AJ5">
            <v>434</v>
          </cell>
          <cell r="AN5">
            <v>465</v>
          </cell>
        </row>
        <row r="6">
          <cell r="F6">
            <v>670</v>
          </cell>
          <cell r="H6">
            <v>695</v>
          </cell>
          <cell r="J6">
            <v>812</v>
          </cell>
          <cell r="L6">
            <v>804</v>
          </cell>
          <cell r="N6">
            <v>716</v>
          </cell>
          <cell r="P6">
            <v>691</v>
          </cell>
          <cell r="R6">
            <v>617</v>
          </cell>
          <cell r="T6">
            <v>916</v>
          </cell>
          <cell r="V6">
            <v>881</v>
          </cell>
          <cell r="X6">
            <v>571</v>
          </cell>
          <cell r="Z6">
            <v>510</v>
          </cell>
          <cell r="AB6">
            <v>478</v>
          </cell>
          <cell r="AJ6">
            <v>432</v>
          </cell>
          <cell r="AN6">
            <v>461</v>
          </cell>
        </row>
        <row r="7">
          <cell r="F7">
            <v>670</v>
          </cell>
          <cell r="H7">
            <v>695</v>
          </cell>
          <cell r="J7">
            <v>812</v>
          </cell>
          <cell r="L7">
            <v>804</v>
          </cell>
          <cell r="N7">
            <v>716</v>
          </cell>
          <cell r="P7">
            <v>691</v>
          </cell>
          <cell r="R7">
            <v>617</v>
          </cell>
          <cell r="T7">
            <v>916</v>
          </cell>
          <cell r="V7">
            <v>881</v>
          </cell>
          <cell r="X7">
            <v>571</v>
          </cell>
          <cell r="Z7">
            <v>510</v>
          </cell>
          <cell r="AB7">
            <v>478</v>
          </cell>
          <cell r="AJ7">
            <v>432</v>
          </cell>
          <cell r="AN7">
            <v>461</v>
          </cell>
        </row>
        <row r="8">
          <cell r="F8">
            <v>655</v>
          </cell>
          <cell r="H8">
            <v>680</v>
          </cell>
          <cell r="J8">
            <v>797</v>
          </cell>
          <cell r="L8">
            <v>789</v>
          </cell>
          <cell r="N8">
            <v>701</v>
          </cell>
          <cell r="P8">
            <v>676</v>
          </cell>
          <cell r="R8">
            <v>602</v>
          </cell>
          <cell r="T8">
            <v>901</v>
          </cell>
          <cell r="V8">
            <v>866</v>
          </cell>
          <cell r="X8">
            <v>556</v>
          </cell>
          <cell r="Z8">
            <v>495</v>
          </cell>
          <cell r="AB8">
            <v>463</v>
          </cell>
          <cell r="AJ8">
            <v>417</v>
          </cell>
          <cell r="AL8">
            <v>357</v>
          </cell>
          <cell r="AN8">
            <v>446</v>
          </cell>
          <cell r="AP8">
            <v>414</v>
          </cell>
          <cell r="BN8">
            <v>578</v>
          </cell>
        </row>
        <row r="9">
          <cell r="Z9">
            <v>495</v>
          </cell>
          <cell r="AJ9">
            <v>417</v>
          </cell>
          <cell r="AL9">
            <v>357</v>
          </cell>
          <cell r="AN9">
            <v>446</v>
          </cell>
          <cell r="AP9">
            <v>414</v>
          </cell>
        </row>
        <row r="11">
          <cell r="F11">
            <v>1032</v>
          </cell>
          <cell r="H11">
            <v>1173</v>
          </cell>
          <cell r="J11">
            <v>1201</v>
          </cell>
          <cell r="L11">
            <v>1188</v>
          </cell>
          <cell r="N11">
            <v>1108</v>
          </cell>
          <cell r="P11">
            <v>1062</v>
          </cell>
          <cell r="R11">
            <v>972</v>
          </cell>
          <cell r="T11">
            <v>1577</v>
          </cell>
          <cell r="V11">
            <v>1515</v>
          </cell>
          <cell r="X11">
            <v>961</v>
          </cell>
          <cell r="Z11">
            <v>844</v>
          </cell>
          <cell r="AB11">
            <v>856</v>
          </cell>
          <cell r="AJ11">
            <v>691</v>
          </cell>
          <cell r="AN11">
            <v>820</v>
          </cell>
          <cell r="BN11">
            <v>926</v>
          </cell>
        </row>
        <row r="12">
          <cell r="F12">
            <v>650</v>
          </cell>
          <cell r="H12">
            <v>679</v>
          </cell>
          <cell r="J12">
            <v>764</v>
          </cell>
          <cell r="L12">
            <v>759</v>
          </cell>
          <cell r="N12">
            <v>679</v>
          </cell>
          <cell r="P12">
            <v>656</v>
          </cell>
          <cell r="R12">
            <v>603</v>
          </cell>
          <cell r="T12">
            <v>857</v>
          </cell>
          <cell r="V12">
            <v>826</v>
          </cell>
          <cell r="X12">
            <v>555</v>
          </cell>
          <cell r="Z12">
            <v>491</v>
          </cell>
          <cell r="AB12">
            <v>470</v>
          </cell>
          <cell r="AH12">
            <v>596</v>
          </cell>
          <cell r="AJ12">
            <v>425</v>
          </cell>
          <cell r="AN12">
            <v>452</v>
          </cell>
          <cell r="BF12">
            <v>396</v>
          </cell>
          <cell r="BH12">
            <v>473</v>
          </cell>
        </row>
        <row r="13">
          <cell r="F13">
            <v>750</v>
          </cell>
          <cell r="H13">
            <v>783</v>
          </cell>
          <cell r="J13">
            <v>881</v>
          </cell>
          <cell r="L13">
            <v>875</v>
          </cell>
          <cell r="N13">
            <v>783</v>
          </cell>
          <cell r="P13">
            <v>756</v>
          </cell>
          <cell r="R13">
            <v>695</v>
          </cell>
          <cell r="X13">
            <v>640</v>
          </cell>
          <cell r="Z13">
            <v>566</v>
          </cell>
          <cell r="AB13">
            <v>541</v>
          </cell>
          <cell r="AH13">
            <v>688</v>
          </cell>
          <cell r="AJ13">
            <v>489</v>
          </cell>
          <cell r="AN13">
            <v>522</v>
          </cell>
          <cell r="BF13">
            <v>456</v>
          </cell>
          <cell r="BH13">
            <v>545</v>
          </cell>
        </row>
        <row r="14">
          <cell r="F14">
            <v>812</v>
          </cell>
          <cell r="H14">
            <v>848</v>
          </cell>
          <cell r="J14">
            <v>955</v>
          </cell>
          <cell r="L14">
            <v>947</v>
          </cell>
          <cell r="N14">
            <v>848</v>
          </cell>
          <cell r="P14">
            <v>819</v>
          </cell>
          <cell r="R14">
            <v>753</v>
          </cell>
          <cell r="X14">
            <v>693</v>
          </cell>
          <cell r="Z14">
            <v>613</v>
          </cell>
          <cell r="AB14">
            <v>587</v>
          </cell>
          <cell r="AH14">
            <v>745</v>
          </cell>
          <cell r="AJ14">
            <v>530</v>
          </cell>
          <cell r="AN14">
            <v>565</v>
          </cell>
          <cell r="BF14">
            <v>494</v>
          </cell>
          <cell r="BH14">
            <v>590</v>
          </cell>
        </row>
        <row r="15">
          <cell r="D15">
            <v>751</v>
          </cell>
          <cell r="F15">
            <v>622</v>
          </cell>
          <cell r="H15">
            <v>652</v>
          </cell>
          <cell r="J15">
            <v>741</v>
          </cell>
          <cell r="L15">
            <v>735</v>
          </cell>
          <cell r="N15">
            <v>652</v>
          </cell>
          <cell r="P15">
            <v>628</v>
          </cell>
          <cell r="R15">
            <v>573</v>
          </cell>
          <cell r="T15">
            <v>838</v>
          </cell>
          <cell r="V15">
            <v>805</v>
          </cell>
          <cell r="X15">
            <v>523</v>
          </cell>
          <cell r="Z15">
            <v>456</v>
          </cell>
          <cell r="AB15">
            <v>434</v>
          </cell>
          <cell r="AD15">
            <v>425</v>
          </cell>
          <cell r="AJ15">
            <v>387</v>
          </cell>
          <cell r="AL15">
            <v>329</v>
          </cell>
          <cell r="AN15">
            <v>416</v>
          </cell>
          <cell r="AP15">
            <v>385</v>
          </cell>
          <cell r="AR15">
            <v>288</v>
          </cell>
          <cell r="AT15">
            <v>274</v>
          </cell>
          <cell r="AX15">
            <v>234</v>
          </cell>
          <cell r="AZ15">
            <v>255</v>
          </cell>
          <cell r="BB15">
            <v>286</v>
          </cell>
          <cell r="BD15">
            <v>312</v>
          </cell>
          <cell r="BF15">
            <v>357</v>
          </cell>
          <cell r="BN15">
            <v>538</v>
          </cell>
        </row>
        <row r="16">
          <cell r="D16">
            <v>806</v>
          </cell>
          <cell r="F16">
            <v>677</v>
          </cell>
          <cell r="H16">
            <v>707</v>
          </cell>
          <cell r="J16">
            <v>796</v>
          </cell>
          <cell r="L16">
            <v>790</v>
          </cell>
          <cell r="N16">
            <v>707</v>
          </cell>
          <cell r="P16">
            <v>683</v>
          </cell>
          <cell r="R16">
            <v>628</v>
          </cell>
          <cell r="T16">
            <v>893</v>
          </cell>
          <cell r="V16">
            <v>860</v>
          </cell>
          <cell r="X16">
            <v>578</v>
          </cell>
          <cell r="Z16">
            <v>511</v>
          </cell>
          <cell r="AB16">
            <v>489</v>
          </cell>
          <cell r="AD16">
            <v>480</v>
          </cell>
          <cell r="AJ16">
            <v>442</v>
          </cell>
          <cell r="AL16">
            <v>384</v>
          </cell>
          <cell r="AN16">
            <v>471</v>
          </cell>
          <cell r="AP16">
            <v>440</v>
          </cell>
          <cell r="BB16">
            <v>341</v>
          </cell>
          <cell r="BD16">
            <v>367</v>
          </cell>
          <cell r="BN16">
            <v>593</v>
          </cell>
        </row>
        <row r="17">
          <cell r="D17">
            <v>766</v>
          </cell>
          <cell r="F17">
            <v>635</v>
          </cell>
          <cell r="H17">
            <v>665</v>
          </cell>
          <cell r="J17">
            <v>756</v>
          </cell>
          <cell r="L17">
            <v>749</v>
          </cell>
          <cell r="N17">
            <v>665</v>
          </cell>
          <cell r="P17">
            <v>641</v>
          </cell>
          <cell r="R17">
            <v>585</v>
          </cell>
          <cell r="T17">
            <v>854</v>
          </cell>
          <cell r="V17">
            <v>821</v>
          </cell>
          <cell r="X17">
            <v>534</v>
          </cell>
          <cell r="Z17">
            <v>466</v>
          </cell>
          <cell r="AB17">
            <v>443</v>
          </cell>
          <cell r="AD17">
            <v>434</v>
          </cell>
          <cell r="AJ17">
            <v>396</v>
          </cell>
          <cell r="AL17">
            <v>337</v>
          </cell>
          <cell r="AN17">
            <v>425</v>
          </cell>
          <cell r="AP17">
            <v>394</v>
          </cell>
          <cell r="AR17">
            <v>295</v>
          </cell>
          <cell r="AX17">
            <v>240</v>
          </cell>
          <cell r="AZ17">
            <v>261</v>
          </cell>
          <cell r="BB17">
            <v>293</v>
          </cell>
          <cell r="BD17">
            <v>319</v>
          </cell>
          <cell r="BF17">
            <v>365</v>
          </cell>
          <cell r="BH17">
            <v>446</v>
          </cell>
          <cell r="BN17">
            <v>549</v>
          </cell>
        </row>
        <row r="18">
          <cell r="D18">
            <v>821</v>
          </cell>
          <cell r="F18">
            <v>690</v>
          </cell>
          <cell r="H18">
            <v>720</v>
          </cell>
          <cell r="J18">
            <v>811</v>
          </cell>
          <cell r="L18">
            <v>804</v>
          </cell>
          <cell r="N18">
            <v>720</v>
          </cell>
          <cell r="P18">
            <v>696</v>
          </cell>
          <cell r="R18">
            <v>640</v>
          </cell>
          <cell r="T18">
            <v>909</v>
          </cell>
          <cell r="V18">
            <v>876</v>
          </cell>
          <cell r="X18">
            <v>589</v>
          </cell>
          <cell r="Z18">
            <v>521</v>
          </cell>
          <cell r="AB18">
            <v>498</v>
          </cell>
          <cell r="AD18">
            <v>489</v>
          </cell>
          <cell r="AJ18">
            <v>451</v>
          </cell>
          <cell r="AN18">
            <v>480</v>
          </cell>
          <cell r="AP18">
            <v>449</v>
          </cell>
          <cell r="BB18">
            <v>348</v>
          </cell>
          <cell r="BD18">
            <v>374</v>
          </cell>
          <cell r="BN18">
            <v>604</v>
          </cell>
        </row>
        <row r="19">
          <cell r="D19">
            <v>784</v>
          </cell>
          <cell r="F19">
            <v>649</v>
          </cell>
          <cell r="H19">
            <v>680</v>
          </cell>
          <cell r="J19">
            <v>773</v>
          </cell>
          <cell r="L19">
            <v>767</v>
          </cell>
          <cell r="N19">
            <v>680</v>
          </cell>
          <cell r="P19">
            <v>655</v>
          </cell>
          <cell r="R19">
            <v>598</v>
          </cell>
          <cell r="T19">
            <v>874</v>
          </cell>
          <cell r="V19">
            <v>840</v>
          </cell>
          <cell r="X19">
            <v>545</v>
          </cell>
          <cell r="Z19">
            <v>481</v>
          </cell>
          <cell r="AB19">
            <v>453</v>
          </cell>
          <cell r="AD19">
            <v>448</v>
          </cell>
          <cell r="AH19">
            <v>615</v>
          </cell>
          <cell r="AJ19">
            <v>404</v>
          </cell>
          <cell r="AL19">
            <v>343</v>
          </cell>
          <cell r="AN19">
            <v>434</v>
          </cell>
          <cell r="AP19">
            <v>402</v>
          </cell>
          <cell r="AR19">
            <v>301</v>
          </cell>
          <cell r="AT19">
            <v>286</v>
          </cell>
          <cell r="AX19">
            <v>244</v>
          </cell>
          <cell r="AZ19">
            <v>266</v>
          </cell>
          <cell r="BB19">
            <v>298</v>
          </cell>
          <cell r="BD19">
            <v>326</v>
          </cell>
          <cell r="BF19">
            <v>373</v>
          </cell>
          <cell r="BH19">
            <v>456</v>
          </cell>
          <cell r="BN19">
            <v>561</v>
          </cell>
        </row>
        <row r="21">
          <cell r="D21">
            <v>857</v>
          </cell>
          <cell r="F21">
            <v>710</v>
          </cell>
          <cell r="H21">
            <v>744</v>
          </cell>
          <cell r="J21">
            <v>846</v>
          </cell>
          <cell r="L21">
            <v>839</v>
          </cell>
          <cell r="N21">
            <v>744</v>
          </cell>
          <cell r="P21">
            <v>717</v>
          </cell>
          <cell r="R21">
            <v>654</v>
          </cell>
          <cell r="T21">
            <v>957</v>
          </cell>
          <cell r="V21">
            <v>919</v>
          </cell>
          <cell r="X21">
            <v>597</v>
          </cell>
          <cell r="Z21">
            <v>523</v>
          </cell>
          <cell r="AB21">
            <v>496</v>
          </cell>
          <cell r="AD21">
            <v>484</v>
          </cell>
          <cell r="AH21">
            <v>676</v>
          </cell>
          <cell r="AJ21">
            <v>442</v>
          </cell>
          <cell r="AL21">
            <v>376</v>
          </cell>
          <cell r="AN21">
            <v>475</v>
          </cell>
          <cell r="AP21">
            <v>440</v>
          </cell>
          <cell r="AZ21">
            <v>291</v>
          </cell>
          <cell r="BB21">
            <v>327</v>
          </cell>
          <cell r="BD21">
            <v>356</v>
          </cell>
          <cell r="BF21">
            <v>408</v>
          </cell>
          <cell r="BH21">
            <v>499</v>
          </cell>
          <cell r="BN21">
            <v>614</v>
          </cell>
        </row>
        <row r="22">
          <cell r="D22">
            <v>856</v>
          </cell>
          <cell r="F22">
            <v>709</v>
          </cell>
          <cell r="H22">
            <v>743</v>
          </cell>
          <cell r="J22">
            <v>845</v>
          </cell>
          <cell r="L22">
            <v>838</v>
          </cell>
          <cell r="N22">
            <v>743</v>
          </cell>
          <cell r="P22">
            <v>716</v>
          </cell>
          <cell r="R22">
            <v>653</v>
          </cell>
          <cell r="T22">
            <v>956</v>
          </cell>
          <cell r="V22">
            <v>918</v>
          </cell>
          <cell r="X22">
            <v>596</v>
          </cell>
          <cell r="Z22">
            <v>523</v>
          </cell>
          <cell r="AB22">
            <v>495</v>
          </cell>
          <cell r="AD22">
            <v>499</v>
          </cell>
          <cell r="AF22">
            <v>760</v>
          </cell>
          <cell r="AH22">
            <v>668</v>
          </cell>
          <cell r="AN22">
            <v>474</v>
          </cell>
          <cell r="AP22">
            <v>439</v>
          </cell>
          <cell r="BD22">
            <v>355</v>
          </cell>
          <cell r="BF22">
            <v>407</v>
          </cell>
          <cell r="BH22">
            <v>498</v>
          </cell>
          <cell r="BJ22">
            <v>563</v>
          </cell>
          <cell r="BN22">
            <v>613</v>
          </cell>
        </row>
        <row r="23">
          <cell r="D23">
            <v>999</v>
          </cell>
          <cell r="F23">
            <v>827</v>
          </cell>
          <cell r="H23">
            <v>867</v>
          </cell>
          <cell r="J23">
            <v>986</v>
          </cell>
          <cell r="L23">
            <v>978</v>
          </cell>
          <cell r="N23">
            <v>867</v>
          </cell>
          <cell r="P23">
            <v>835</v>
          </cell>
          <cell r="R23">
            <v>762</v>
          </cell>
          <cell r="T23">
            <v>1115</v>
          </cell>
          <cell r="V23">
            <v>1071</v>
          </cell>
          <cell r="X23">
            <v>695</v>
          </cell>
          <cell r="AB23">
            <v>577</v>
          </cell>
          <cell r="AF23">
            <v>894</v>
          </cell>
          <cell r="AH23">
            <v>786</v>
          </cell>
          <cell r="BD23">
            <v>415</v>
          </cell>
          <cell r="BF23">
            <v>475</v>
          </cell>
          <cell r="BH23">
            <v>581</v>
          </cell>
          <cell r="BJ23">
            <v>657</v>
          </cell>
          <cell r="BL23">
            <v>731</v>
          </cell>
          <cell r="BN23">
            <v>716</v>
          </cell>
        </row>
        <row r="24">
          <cell r="L24" t="str">
            <v>-</v>
          </cell>
          <cell r="N24" t="str">
            <v>-</v>
          </cell>
          <cell r="P24" t="str">
            <v>-</v>
          </cell>
          <cell r="R24" t="str">
            <v>-</v>
          </cell>
          <cell r="V24" t="str">
            <v>-</v>
          </cell>
          <cell r="AF24">
            <v>1010</v>
          </cell>
          <cell r="AH24">
            <v>888</v>
          </cell>
          <cell r="BH24">
            <v>656</v>
          </cell>
          <cell r="BJ24">
            <v>741</v>
          </cell>
          <cell r="BL24">
            <v>826</v>
          </cell>
        </row>
        <row r="25">
          <cell r="D25">
            <v>761</v>
          </cell>
          <cell r="F25">
            <v>632</v>
          </cell>
          <cell r="H25">
            <v>662</v>
          </cell>
          <cell r="J25">
            <v>751</v>
          </cell>
          <cell r="L25">
            <v>761</v>
          </cell>
          <cell r="N25">
            <v>662</v>
          </cell>
          <cell r="P25">
            <v>638</v>
          </cell>
          <cell r="R25">
            <v>583</v>
          </cell>
          <cell r="T25">
            <v>904</v>
          </cell>
          <cell r="V25">
            <v>869</v>
          </cell>
          <cell r="X25">
            <v>533</v>
          </cell>
          <cell r="Z25">
            <v>475</v>
          </cell>
          <cell r="AB25">
            <v>444</v>
          </cell>
          <cell r="AD25">
            <v>425</v>
          </cell>
          <cell r="AF25">
            <v>648</v>
          </cell>
          <cell r="AH25">
            <v>566</v>
          </cell>
          <cell r="AJ25">
            <v>387</v>
          </cell>
          <cell r="AL25">
            <v>329</v>
          </cell>
          <cell r="AN25">
            <v>421</v>
          </cell>
          <cell r="AP25">
            <v>390</v>
          </cell>
          <cell r="AX25">
            <v>224</v>
          </cell>
          <cell r="AZ25">
            <v>243</v>
          </cell>
          <cell r="BB25">
            <v>275</v>
          </cell>
          <cell r="BD25">
            <v>298</v>
          </cell>
          <cell r="BF25">
            <v>343</v>
          </cell>
          <cell r="BH25">
            <v>422</v>
          </cell>
          <cell r="BJ25">
            <v>475</v>
          </cell>
          <cell r="BL25">
            <v>528</v>
          </cell>
          <cell r="BN25">
            <v>548</v>
          </cell>
        </row>
        <row r="26">
          <cell r="D26">
            <v>756</v>
          </cell>
          <cell r="F26">
            <v>627</v>
          </cell>
          <cell r="H26">
            <v>657</v>
          </cell>
          <cell r="J26">
            <v>746</v>
          </cell>
          <cell r="L26">
            <v>756</v>
          </cell>
          <cell r="N26">
            <v>657</v>
          </cell>
          <cell r="P26">
            <v>633</v>
          </cell>
          <cell r="R26">
            <v>578</v>
          </cell>
          <cell r="T26">
            <v>899</v>
          </cell>
          <cell r="V26">
            <v>864</v>
          </cell>
          <cell r="X26">
            <v>528</v>
          </cell>
          <cell r="Z26">
            <v>470</v>
          </cell>
          <cell r="AB26">
            <v>439</v>
          </cell>
          <cell r="AD26">
            <v>425</v>
          </cell>
          <cell r="AF26">
            <v>648</v>
          </cell>
          <cell r="AH26">
            <v>566</v>
          </cell>
          <cell r="AJ26">
            <v>387</v>
          </cell>
          <cell r="AL26">
            <v>329</v>
          </cell>
          <cell r="AN26">
            <v>421</v>
          </cell>
          <cell r="AP26">
            <v>390</v>
          </cell>
          <cell r="AR26">
            <v>288</v>
          </cell>
          <cell r="AT26">
            <v>274</v>
          </cell>
          <cell r="AX26">
            <v>224</v>
          </cell>
          <cell r="AZ26">
            <v>243</v>
          </cell>
          <cell r="BB26">
            <v>275</v>
          </cell>
          <cell r="BD26">
            <v>298</v>
          </cell>
          <cell r="BF26">
            <v>343</v>
          </cell>
          <cell r="BH26">
            <v>422</v>
          </cell>
          <cell r="BJ26">
            <v>475</v>
          </cell>
          <cell r="BL26">
            <v>528</v>
          </cell>
          <cell r="BN26">
            <v>543</v>
          </cell>
        </row>
        <row r="27">
          <cell r="D27">
            <v>830</v>
          </cell>
          <cell r="F27">
            <v>690</v>
          </cell>
          <cell r="H27">
            <v>724</v>
          </cell>
          <cell r="J27">
            <v>839</v>
          </cell>
          <cell r="L27">
            <v>865</v>
          </cell>
          <cell r="N27">
            <v>725</v>
          </cell>
          <cell r="P27">
            <v>698</v>
          </cell>
          <cell r="R27">
            <v>640</v>
          </cell>
          <cell r="T27">
            <v>956</v>
          </cell>
          <cell r="V27">
            <v>918</v>
          </cell>
          <cell r="X27">
            <v>591</v>
          </cell>
          <cell r="Z27">
            <v>507</v>
          </cell>
          <cell r="AB27">
            <v>520</v>
          </cell>
          <cell r="AJ27">
            <v>464</v>
          </cell>
          <cell r="AN27">
            <v>499</v>
          </cell>
          <cell r="BN27">
            <v>610</v>
          </cell>
        </row>
        <row r="28">
          <cell r="D28">
            <v>895</v>
          </cell>
          <cell r="F28">
            <v>746</v>
          </cell>
          <cell r="H28">
            <v>780</v>
          </cell>
          <cell r="J28">
            <v>904</v>
          </cell>
          <cell r="L28">
            <v>933</v>
          </cell>
          <cell r="N28">
            <v>784</v>
          </cell>
          <cell r="P28">
            <v>755</v>
          </cell>
          <cell r="R28">
            <v>693</v>
          </cell>
          <cell r="T28">
            <v>1026</v>
          </cell>
          <cell r="V28">
            <v>990</v>
          </cell>
          <cell r="X28">
            <v>641</v>
          </cell>
          <cell r="Z28">
            <v>571</v>
          </cell>
          <cell r="AB28">
            <v>566</v>
          </cell>
          <cell r="AJ28">
            <v>506</v>
          </cell>
          <cell r="AN28">
            <v>544</v>
          </cell>
          <cell r="BN28">
            <v>661</v>
          </cell>
        </row>
        <row r="29">
          <cell r="D29">
            <v>850</v>
          </cell>
          <cell r="F29">
            <v>706</v>
          </cell>
          <cell r="H29">
            <v>742</v>
          </cell>
          <cell r="J29">
            <v>859</v>
          </cell>
          <cell r="L29">
            <v>876</v>
          </cell>
          <cell r="P29">
            <v>715</v>
          </cell>
          <cell r="T29">
            <v>977</v>
          </cell>
          <cell r="V29">
            <v>938</v>
          </cell>
          <cell r="X29">
            <v>603</v>
          </cell>
          <cell r="Z29">
            <v>531</v>
          </cell>
          <cell r="AB29">
            <v>537</v>
          </cell>
          <cell r="AJ29">
            <v>477</v>
          </cell>
          <cell r="AN29">
            <v>514</v>
          </cell>
          <cell r="BN29">
            <v>624</v>
          </cell>
        </row>
        <row r="31">
          <cell r="D31">
            <v>850</v>
          </cell>
          <cell r="F31">
            <v>706</v>
          </cell>
          <cell r="H31">
            <v>742</v>
          </cell>
          <cell r="J31">
            <v>859</v>
          </cell>
          <cell r="L31">
            <v>876</v>
          </cell>
          <cell r="N31">
            <v>740</v>
          </cell>
          <cell r="P31">
            <v>715</v>
          </cell>
          <cell r="R31">
            <v>655</v>
          </cell>
          <cell r="T31">
            <v>977</v>
          </cell>
          <cell r="V31">
            <v>938</v>
          </cell>
          <cell r="X31">
            <v>603</v>
          </cell>
          <cell r="Z31">
            <v>531</v>
          </cell>
          <cell r="AB31">
            <v>537</v>
          </cell>
          <cell r="AJ31">
            <v>477</v>
          </cell>
          <cell r="BN31">
            <v>624</v>
          </cell>
        </row>
        <row r="34">
          <cell r="D34">
            <v>186</v>
          </cell>
          <cell r="F34">
            <v>125</v>
          </cell>
          <cell r="H34">
            <v>128</v>
          </cell>
          <cell r="J34">
            <v>140</v>
          </cell>
          <cell r="L34">
            <v>138</v>
          </cell>
          <cell r="N34">
            <v>134</v>
          </cell>
          <cell r="P34">
            <v>128</v>
          </cell>
          <cell r="R34">
            <v>113</v>
          </cell>
          <cell r="T34">
            <v>173</v>
          </cell>
          <cell r="V34">
            <v>166</v>
          </cell>
          <cell r="X34">
            <v>110</v>
          </cell>
          <cell r="Z34">
            <v>98</v>
          </cell>
          <cell r="AB34">
            <v>101</v>
          </cell>
          <cell r="AD34">
            <v>100</v>
          </cell>
          <cell r="AJ34">
            <v>90</v>
          </cell>
          <cell r="AL34">
            <v>80</v>
          </cell>
          <cell r="AN34">
            <v>96</v>
          </cell>
          <cell r="AP34">
            <v>89</v>
          </cell>
          <cell r="BN34">
            <v>105</v>
          </cell>
        </row>
        <row r="35">
          <cell r="D35">
            <v>190</v>
          </cell>
          <cell r="F35">
            <v>129</v>
          </cell>
          <cell r="H35">
            <v>132</v>
          </cell>
          <cell r="J35">
            <v>145</v>
          </cell>
          <cell r="L35">
            <v>143</v>
          </cell>
          <cell r="N35">
            <v>139</v>
          </cell>
          <cell r="P35">
            <v>133</v>
          </cell>
          <cell r="R35">
            <v>118</v>
          </cell>
          <cell r="T35">
            <v>177</v>
          </cell>
          <cell r="V35">
            <v>170</v>
          </cell>
          <cell r="X35">
            <v>114</v>
          </cell>
          <cell r="Z35">
            <v>102</v>
          </cell>
          <cell r="AB35">
            <v>105</v>
          </cell>
          <cell r="AD35">
            <v>104</v>
          </cell>
          <cell r="AJ35">
            <v>94</v>
          </cell>
          <cell r="AL35">
            <v>84</v>
          </cell>
          <cell r="AN35">
            <v>100</v>
          </cell>
          <cell r="AP35">
            <v>93</v>
          </cell>
          <cell r="BN35">
            <v>109</v>
          </cell>
        </row>
        <row r="36">
          <cell r="D36">
            <v>213</v>
          </cell>
          <cell r="P36">
            <v>158</v>
          </cell>
          <cell r="AD36">
            <v>109</v>
          </cell>
          <cell r="AJ36">
            <v>105</v>
          </cell>
          <cell r="AL36">
            <v>99</v>
          </cell>
        </row>
        <row r="37">
          <cell r="D37">
            <v>213</v>
          </cell>
          <cell r="P37">
            <v>158</v>
          </cell>
          <cell r="AD37">
            <v>109</v>
          </cell>
          <cell r="AJ37">
            <v>105</v>
          </cell>
          <cell r="AL37">
            <v>99</v>
          </cell>
        </row>
        <row r="38">
          <cell r="D38">
            <v>217</v>
          </cell>
          <cell r="P38">
            <v>161</v>
          </cell>
          <cell r="AD38">
            <v>113</v>
          </cell>
          <cell r="AJ38">
            <v>109</v>
          </cell>
          <cell r="AL38">
            <v>102</v>
          </cell>
        </row>
        <row r="39">
          <cell r="D39">
            <v>217</v>
          </cell>
          <cell r="P39">
            <v>161</v>
          </cell>
          <cell r="AD39">
            <v>113</v>
          </cell>
          <cell r="AJ39">
            <v>109</v>
          </cell>
          <cell r="AL39">
            <v>102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8"/>
  <sheetViews>
    <sheetView tabSelected="1" workbookViewId="0">
      <selection activeCell="W17" sqref="W17"/>
    </sheetView>
  </sheetViews>
  <sheetFormatPr baseColWidth="10" defaultRowHeight="16" x14ac:dyDescent="0.2"/>
  <cols>
    <col min="1" max="4" width="10.83203125" style="1"/>
    <col min="5" max="9" width="8.83203125" style="1" customWidth="1"/>
    <col min="10" max="12" width="10.83203125" style="1" customWidth="1"/>
    <col min="13" max="14" width="10.83203125" style="1"/>
    <col min="15" max="15" width="10.83203125" style="1" customWidth="1"/>
    <col min="16" max="19" width="10.83203125" style="1"/>
    <col min="20" max="20" width="15.1640625" style="1" customWidth="1"/>
    <col min="21" max="16384" width="10.83203125" style="1"/>
  </cols>
  <sheetData>
    <row r="1" spans="1:20" ht="20" customHeight="1" x14ac:dyDescent="0.2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0" ht="20" customHeight="1" x14ac:dyDescent="0.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</row>
    <row r="3" spans="1:20" ht="20" customHeight="1" x14ac:dyDescent="0.2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1:20" ht="20" customHeight="1" x14ac:dyDescent="0.2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</row>
    <row r="5" spans="1:20" ht="20" customHeight="1" x14ac:dyDescent="0.2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</row>
    <row r="6" spans="1:20" ht="20" customHeight="1" x14ac:dyDescent="0.2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</row>
    <row r="7" spans="1:20" ht="20" customHeight="1" x14ac:dyDescent="0.2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</row>
    <row r="8" spans="1:20" ht="30" customHeight="1" x14ac:dyDescent="0.2">
      <c r="A8" s="76" t="s">
        <v>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8"/>
    </row>
    <row r="9" spans="1:20" ht="40" customHeight="1" x14ac:dyDescent="0.2">
      <c r="A9" s="110" t="s">
        <v>152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</row>
    <row r="10" spans="1:20" ht="30" customHeight="1" x14ac:dyDescent="0.2">
      <c r="A10" s="111" t="s">
        <v>153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</row>
    <row r="11" spans="1:20" ht="30" customHeight="1" x14ac:dyDescent="0.2">
      <c r="A11" s="80" t="s">
        <v>154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</row>
    <row r="12" spans="1:20" ht="30" customHeight="1" x14ac:dyDescent="0.2">
      <c r="A12" s="68" t="s">
        <v>155</v>
      </c>
      <c r="B12" s="69"/>
      <c r="C12" s="69"/>
      <c r="D12" s="70"/>
      <c r="E12" s="68" t="s">
        <v>156</v>
      </c>
      <c r="F12" s="69"/>
      <c r="G12" s="69"/>
      <c r="H12" s="69"/>
      <c r="I12" s="69"/>
      <c r="J12" s="69"/>
      <c r="K12" s="69"/>
      <c r="L12" s="70"/>
      <c r="M12" s="106" t="s">
        <v>6</v>
      </c>
      <c r="N12" s="106" t="s">
        <v>157</v>
      </c>
      <c r="O12" s="83" t="s">
        <v>227</v>
      </c>
      <c r="P12" s="84"/>
      <c r="Q12" s="84"/>
      <c r="R12" s="84"/>
      <c r="S12" s="84"/>
      <c r="T12" s="84"/>
    </row>
    <row r="13" spans="1:20" ht="30" customHeight="1" x14ac:dyDescent="0.2">
      <c r="A13" s="98"/>
      <c r="B13" s="99"/>
      <c r="C13" s="99"/>
      <c r="D13" s="105"/>
      <c r="E13" s="98"/>
      <c r="F13" s="99"/>
      <c r="G13" s="99"/>
      <c r="H13" s="99"/>
      <c r="I13" s="99"/>
      <c r="J13" s="99"/>
      <c r="K13" s="99"/>
      <c r="L13" s="105"/>
      <c r="M13" s="107"/>
      <c r="N13" s="107"/>
      <c r="O13" s="83" t="s">
        <v>158</v>
      </c>
      <c r="P13" s="84"/>
      <c r="Q13" s="84"/>
      <c r="R13" s="84"/>
      <c r="S13" s="85"/>
      <c r="T13" s="50" t="s">
        <v>159</v>
      </c>
    </row>
    <row r="14" spans="1:20" ht="30" customHeight="1" x14ac:dyDescent="0.2">
      <c r="A14" s="71"/>
      <c r="B14" s="72"/>
      <c r="C14" s="72"/>
      <c r="D14" s="73"/>
      <c r="E14" s="71"/>
      <c r="F14" s="72"/>
      <c r="G14" s="72"/>
      <c r="H14" s="72"/>
      <c r="I14" s="72"/>
      <c r="J14" s="72"/>
      <c r="K14" s="72"/>
      <c r="L14" s="73"/>
      <c r="M14" s="108"/>
      <c r="N14" s="108"/>
      <c r="O14" s="83" t="s">
        <v>160</v>
      </c>
      <c r="P14" s="84"/>
      <c r="Q14" s="84"/>
      <c r="R14" s="84"/>
      <c r="S14" s="85"/>
      <c r="T14" s="50" t="s">
        <v>161</v>
      </c>
    </row>
    <row r="15" spans="1:20" ht="55" customHeight="1" x14ac:dyDescent="0.2">
      <c r="A15" s="101" t="s">
        <v>162</v>
      </c>
      <c r="B15" s="101"/>
      <c r="C15" s="101"/>
      <c r="D15" s="101"/>
      <c r="E15" s="102"/>
      <c r="F15" s="102"/>
      <c r="G15" s="102"/>
      <c r="H15" s="102"/>
      <c r="I15" s="102"/>
      <c r="J15" s="102"/>
      <c r="K15" s="102"/>
      <c r="L15" s="102"/>
      <c r="M15" s="55" t="s">
        <v>1</v>
      </c>
      <c r="N15" s="56" t="s">
        <v>163</v>
      </c>
      <c r="O15" s="103">
        <v>496</v>
      </c>
      <c r="P15" s="103"/>
      <c r="Q15" s="103"/>
      <c r="R15" s="103"/>
      <c r="S15" s="103"/>
      <c r="T15" s="57">
        <v>650</v>
      </c>
    </row>
    <row r="16" spans="1:20" ht="55" customHeight="1" x14ac:dyDescent="0.2">
      <c r="A16" s="101" t="s">
        <v>164</v>
      </c>
      <c r="B16" s="101"/>
      <c r="C16" s="101"/>
      <c r="D16" s="101"/>
      <c r="E16" s="102"/>
      <c r="F16" s="102"/>
      <c r="G16" s="102"/>
      <c r="H16" s="102"/>
      <c r="I16" s="102"/>
      <c r="J16" s="102"/>
      <c r="K16" s="102"/>
      <c r="L16" s="102"/>
      <c r="M16" s="55" t="s">
        <v>1</v>
      </c>
      <c r="N16" s="56" t="s">
        <v>163</v>
      </c>
      <c r="O16" s="103">
        <v>656</v>
      </c>
      <c r="P16" s="103"/>
      <c r="Q16" s="103"/>
      <c r="R16" s="103"/>
      <c r="S16" s="103"/>
      <c r="T16" s="57">
        <v>838</v>
      </c>
    </row>
    <row r="17" spans="1:20" ht="55" customHeight="1" x14ac:dyDescent="0.2">
      <c r="A17" s="101" t="s">
        <v>165</v>
      </c>
      <c r="B17" s="101"/>
      <c r="C17" s="101"/>
      <c r="D17" s="101"/>
      <c r="E17" s="102"/>
      <c r="F17" s="102"/>
      <c r="G17" s="102"/>
      <c r="H17" s="102"/>
      <c r="I17" s="102"/>
      <c r="J17" s="102"/>
      <c r="K17" s="102"/>
      <c r="L17" s="102"/>
      <c r="M17" s="55" t="s">
        <v>1</v>
      </c>
      <c r="N17" s="56" t="s">
        <v>163</v>
      </c>
      <c r="O17" s="103">
        <v>400</v>
      </c>
      <c r="P17" s="103"/>
      <c r="Q17" s="103"/>
      <c r="R17" s="103"/>
      <c r="S17" s="103"/>
      <c r="T17" s="57">
        <v>563</v>
      </c>
    </row>
    <row r="18" spans="1:20" ht="55" customHeight="1" x14ac:dyDescent="0.2">
      <c r="A18" s="101" t="s">
        <v>166</v>
      </c>
      <c r="B18" s="101"/>
      <c r="C18" s="101"/>
      <c r="D18" s="101"/>
      <c r="E18" s="102"/>
      <c r="F18" s="102"/>
      <c r="G18" s="102"/>
      <c r="H18" s="102"/>
      <c r="I18" s="102"/>
      <c r="J18" s="102"/>
      <c r="K18" s="102"/>
      <c r="L18" s="102"/>
      <c r="M18" s="55" t="s">
        <v>1</v>
      </c>
      <c r="N18" s="56" t="s">
        <v>163</v>
      </c>
      <c r="O18" s="103">
        <v>320</v>
      </c>
      <c r="P18" s="103"/>
      <c r="Q18" s="103"/>
      <c r="R18" s="103"/>
      <c r="S18" s="103"/>
      <c r="T18" s="103"/>
    </row>
    <row r="19" spans="1:20" ht="55" customHeight="1" x14ac:dyDescent="0.2">
      <c r="A19" s="101" t="s">
        <v>167</v>
      </c>
      <c r="B19" s="101"/>
      <c r="C19" s="101"/>
      <c r="D19" s="101"/>
      <c r="E19" s="102"/>
      <c r="F19" s="102"/>
      <c r="G19" s="102"/>
      <c r="H19" s="102"/>
      <c r="I19" s="102"/>
      <c r="J19" s="102"/>
      <c r="K19" s="102"/>
      <c r="L19" s="102"/>
      <c r="M19" s="55" t="s">
        <v>1</v>
      </c>
      <c r="N19" s="56" t="s">
        <v>163</v>
      </c>
      <c r="O19" s="103">
        <v>224</v>
      </c>
      <c r="P19" s="103"/>
      <c r="Q19" s="103"/>
      <c r="R19" s="103"/>
      <c r="S19" s="103"/>
      <c r="T19" s="57">
        <v>274</v>
      </c>
    </row>
    <row r="20" spans="1:20" ht="55" customHeight="1" x14ac:dyDescent="0.2">
      <c r="A20" s="101" t="s">
        <v>168</v>
      </c>
      <c r="B20" s="101"/>
      <c r="C20" s="101"/>
      <c r="D20" s="101"/>
      <c r="E20" s="104"/>
      <c r="F20" s="104"/>
      <c r="G20" s="104"/>
      <c r="H20" s="104"/>
      <c r="I20" s="104"/>
      <c r="J20" s="104"/>
      <c r="K20" s="104"/>
      <c r="L20" s="104"/>
      <c r="M20" s="55" t="s">
        <v>1</v>
      </c>
      <c r="N20" s="56" t="s">
        <v>163</v>
      </c>
      <c r="O20" s="103">
        <v>200</v>
      </c>
      <c r="P20" s="103"/>
      <c r="Q20" s="103"/>
      <c r="R20" s="103"/>
      <c r="S20" s="103"/>
      <c r="T20" s="103"/>
    </row>
    <row r="21" spans="1:20" ht="55" customHeight="1" x14ac:dyDescent="0.2">
      <c r="A21" s="101" t="s">
        <v>169</v>
      </c>
      <c r="B21" s="101"/>
      <c r="C21" s="101"/>
      <c r="D21" s="101"/>
      <c r="E21" s="102"/>
      <c r="F21" s="102"/>
      <c r="G21" s="102"/>
      <c r="H21" s="102"/>
      <c r="I21" s="102"/>
      <c r="J21" s="102"/>
      <c r="K21" s="102"/>
      <c r="L21" s="102"/>
      <c r="M21" s="55" t="s">
        <v>1</v>
      </c>
      <c r="N21" s="56" t="s">
        <v>163</v>
      </c>
      <c r="O21" s="103">
        <v>496</v>
      </c>
      <c r="P21" s="103"/>
      <c r="Q21" s="103"/>
      <c r="R21" s="103"/>
      <c r="S21" s="103"/>
      <c r="T21" s="57">
        <v>811</v>
      </c>
    </row>
    <row r="22" spans="1:20" ht="55" customHeight="1" x14ac:dyDescent="0.2">
      <c r="A22" s="101" t="s">
        <v>170</v>
      </c>
      <c r="B22" s="101"/>
      <c r="C22" s="101"/>
      <c r="D22" s="101"/>
      <c r="E22" s="102"/>
      <c r="F22" s="102"/>
      <c r="G22" s="102"/>
      <c r="H22" s="102"/>
      <c r="I22" s="102"/>
      <c r="J22" s="102"/>
      <c r="K22" s="102"/>
      <c r="L22" s="102"/>
      <c r="M22" s="55" t="s">
        <v>1</v>
      </c>
      <c r="N22" s="56" t="s">
        <v>163</v>
      </c>
      <c r="O22" s="103">
        <v>295</v>
      </c>
      <c r="P22" s="103"/>
      <c r="Q22" s="103"/>
      <c r="R22" s="103"/>
      <c r="S22" s="103"/>
      <c r="T22" s="103"/>
    </row>
    <row r="23" spans="1:20" ht="57" customHeight="1" x14ac:dyDescent="0.2">
      <c r="A23" s="101" t="s">
        <v>171</v>
      </c>
      <c r="B23" s="101"/>
      <c r="C23" s="101"/>
      <c r="D23" s="101"/>
      <c r="E23" s="102"/>
      <c r="F23" s="102"/>
      <c r="G23" s="102"/>
      <c r="H23" s="102"/>
      <c r="I23" s="102"/>
      <c r="J23" s="102"/>
      <c r="K23" s="102"/>
      <c r="L23" s="102"/>
      <c r="M23" s="55" t="s">
        <v>1</v>
      </c>
      <c r="N23" s="56" t="s">
        <v>163</v>
      </c>
      <c r="O23" s="103">
        <v>850</v>
      </c>
      <c r="P23" s="103"/>
      <c r="Q23" s="103"/>
      <c r="R23" s="103"/>
      <c r="S23" s="103"/>
      <c r="T23" s="57">
        <v>1233</v>
      </c>
    </row>
    <row r="24" spans="1:20" ht="55" customHeight="1" x14ac:dyDescent="0.2">
      <c r="A24" s="101" t="s">
        <v>172</v>
      </c>
      <c r="B24" s="101"/>
      <c r="C24" s="101"/>
      <c r="D24" s="101"/>
      <c r="E24" s="104"/>
      <c r="F24" s="104"/>
      <c r="G24" s="104"/>
      <c r="H24" s="104"/>
      <c r="I24" s="104"/>
      <c r="J24" s="104"/>
      <c r="K24" s="104"/>
      <c r="L24" s="104"/>
      <c r="M24" s="55" t="s">
        <v>1</v>
      </c>
      <c r="N24" s="56" t="s">
        <v>163</v>
      </c>
      <c r="O24" s="103">
        <v>496</v>
      </c>
      <c r="P24" s="103"/>
      <c r="Q24" s="103"/>
      <c r="R24" s="103"/>
      <c r="S24" s="103"/>
      <c r="T24" s="57">
        <v>650</v>
      </c>
    </row>
    <row r="25" spans="1:20" ht="30" customHeight="1" x14ac:dyDescent="0.2">
      <c r="A25" s="80" t="s">
        <v>173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</row>
    <row r="26" spans="1:20" ht="30" customHeight="1" x14ac:dyDescent="0.2">
      <c r="A26" s="68" t="s">
        <v>174</v>
      </c>
      <c r="B26" s="69"/>
      <c r="C26" s="69"/>
      <c r="D26" s="69"/>
      <c r="E26" s="68" t="s">
        <v>156</v>
      </c>
      <c r="F26" s="69"/>
      <c r="G26" s="69"/>
      <c r="H26" s="69"/>
      <c r="I26" s="69"/>
      <c r="J26" s="83" t="s">
        <v>228</v>
      </c>
      <c r="K26" s="84"/>
      <c r="L26" s="84"/>
      <c r="M26" s="84"/>
      <c r="N26" s="84"/>
      <c r="O26" s="84"/>
      <c r="P26" s="84"/>
      <c r="Q26" s="84"/>
      <c r="R26" s="84"/>
      <c r="S26" s="84"/>
      <c r="T26" s="84"/>
    </row>
    <row r="27" spans="1:20" ht="30" customHeight="1" x14ac:dyDescent="0.2">
      <c r="A27" s="98"/>
      <c r="B27" s="99"/>
      <c r="C27" s="99"/>
      <c r="D27" s="99"/>
      <c r="E27" s="98"/>
      <c r="F27" s="99"/>
      <c r="G27" s="99"/>
      <c r="H27" s="99"/>
      <c r="I27" s="99"/>
      <c r="J27" s="50">
        <v>5</v>
      </c>
      <c r="K27" s="50">
        <v>7</v>
      </c>
      <c r="L27" s="50">
        <v>10</v>
      </c>
      <c r="M27" s="50">
        <v>12</v>
      </c>
      <c r="N27" s="50">
        <v>15</v>
      </c>
      <c r="O27" s="50">
        <v>20</v>
      </c>
      <c r="P27" s="50">
        <v>25</v>
      </c>
      <c r="Q27" s="50">
        <v>30</v>
      </c>
      <c r="R27" s="50">
        <v>40</v>
      </c>
      <c r="S27" s="50">
        <v>45</v>
      </c>
      <c r="T27" s="50">
        <v>50</v>
      </c>
    </row>
    <row r="28" spans="1:20" ht="30" customHeight="1" x14ac:dyDescent="0.2">
      <c r="A28" s="74" t="s">
        <v>175</v>
      </c>
      <c r="B28" s="74"/>
      <c r="C28" s="74"/>
      <c r="D28" s="74"/>
      <c r="E28" s="100"/>
      <c r="F28" s="100"/>
      <c r="G28" s="100"/>
      <c r="H28" s="100"/>
      <c r="I28" s="100"/>
      <c r="J28" s="58">
        <v>220</v>
      </c>
      <c r="K28" s="58">
        <v>254</v>
      </c>
      <c r="L28" s="58">
        <v>273</v>
      </c>
      <c r="M28" s="58">
        <v>330</v>
      </c>
      <c r="N28" s="58">
        <v>357</v>
      </c>
      <c r="O28" s="58">
        <v>399</v>
      </c>
      <c r="P28" s="58">
        <v>494</v>
      </c>
      <c r="Q28" s="58">
        <v>589</v>
      </c>
      <c r="R28" s="58">
        <v>684</v>
      </c>
      <c r="S28" s="58">
        <v>779</v>
      </c>
      <c r="T28" s="58">
        <v>874</v>
      </c>
    </row>
    <row r="29" spans="1:20" ht="31" customHeight="1" x14ac:dyDescent="0.2">
      <c r="A29" s="74" t="s">
        <v>176</v>
      </c>
      <c r="B29" s="74"/>
      <c r="C29" s="74"/>
      <c r="D29" s="74"/>
      <c r="E29" s="100"/>
      <c r="F29" s="100"/>
      <c r="G29" s="100"/>
      <c r="H29" s="100"/>
      <c r="I29" s="100"/>
      <c r="J29" s="58">
        <v>182</v>
      </c>
      <c r="K29" s="58">
        <v>227</v>
      </c>
      <c r="L29" s="58">
        <v>261</v>
      </c>
      <c r="M29" s="58">
        <v>317</v>
      </c>
      <c r="N29" s="58">
        <v>345</v>
      </c>
      <c r="O29" s="58">
        <v>448</v>
      </c>
      <c r="P29" s="58">
        <v>448</v>
      </c>
      <c r="Q29" s="58">
        <v>543</v>
      </c>
      <c r="R29" s="58">
        <v>638</v>
      </c>
      <c r="S29" s="58">
        <v>733</v>
      </c>
      <c r="T29" s="58">
        <v>828</v>
      </c>
    </row>
    <row r="30" spans="1:20" ht="20" customHeight="1" x14ac:dyDescent="0.2">
      <c r="A30" s="79" t="s">
        <v>177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</row>
    <row r="31" spans="1:20" ht="20" customHeight="1" x14ac:dyDescent="0.2">
      <c r="A31" s="79" t="s">
        <v>178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</row>
    <row r="32" spans="1:20" ht="30" customHeight="1" x14ac:dyDescent="0.2">
      <c r="A32" s="80" t="s">
        <v>179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</row>
    <row r="33" spans="1:20" ht="30" customHeight="1" x14ac:dyDescent="0.2">
      <c r="A33" s="68" t="s">
        <v>174</v>
      </c>
      <c r="B33" s="69"/>
      <c r="C33" s="69"/>
      <c r="D33" s="69"/>
      <c r="E33" s="68" t="s">
        <v>156</v>
      </c>
      <c r="F33" s="69"/>
      <c r="G33" s="69"/>
      <c r="H33" s="69"/>
      <c r="I33" s="70"/>
      <c r="J33" s="83" t="s">
        <v>232</v>
      </c>
      <c r="K33" s="84"/>
      <c r="L33" s="84"/>
      <c r="M33" s="84"/>
      <c r="N33" s="84"/>
      <c r="O33" s="84"/>
      <c r="P33" s="84"/>
      <c r="Q33" s="84"/>
      <c r="R33" s="84"/>
      <c r="S33" s="84"/>
      <c r="T33" s="84"/>
    </row>
    <row r="34" spans="1:20" ht="30" customHeight="1" x14ac:dyDescent="0.2">
      <c r="A34" s="98"/>
      <c r="B34" s="99"/>
      <c r="C34" s="99"/>
      <c r="D34" s="99"/>
      <c r="E34" s="71"/>
      <c r="F34" s="72"/>
      <c r="G34" s="72"/>
      <c r="H34" s="72"/>
      <c r="I34" s="73"/>
      <c r="J34" s="50">
        <v>5</v>
      </c>
      <c r="K34" s="50">
        <v>7</v>
      </c>
      <c r="L34" s="50">
        <v>10</v>
      </c>
      <c r="M34" s="50">
        <v>12</v>
      </c>
      <c r="N34" s="50">
        <v>15</v>
      </c>
      <c r="O34" s="50">
        <v>20</v>
      </c>
      <c r="P34" s="50">
        <v>25</v>
      </c>
      <c r="Q34" s="50">
        <v>30</v>
      </c>
      <c r="R34" s="50">
        <v>40</v>
      </c>
      <c r="S34" s="50">
        <v>45</v>
      </c>
      <c r="T34" s="50">
        <v>50</v>
      </c>
    </row>
    <row r="35" spans="1:20" ht="30" customHeight="1" x14ac:dyDescent="0.2">
      <c r="A35" s="74" t="s">
        <v>180</v>
      </c>
      <c r="B35" s="74"/>
      <c r="C35" s="74"/>
      <c r="D35" s="74"/>
      <c r="E35" s="97"/>
      <c r="F35" s="97"/>
      <c r="G35" s="97"/>
      <c r="H35" s="97"/>
      <c r="I35" s="97"/>
      <c r="J35" s="58">
        <v>186</v>
      </c>
      <c r="K35" s="58">
        <v>243</v>
      </c>
      <c r="L35" s="58">
        <v>329</v>
      </c>
      <c r="M35" s="58">
        <v>386</v>
      </c>
      <c r="N35" s="58">
        <v>472</v>
      </c>
      <c r="O35" s="58">
        <v>615</v>
      </c>
      <c r="P35" s="58">
        <v>758</v>
      </c>
      <c r="Q35" s="58">
        <v>901</v>
      </c>
      <c r="R35" s="58">
        <v>1187</v>
      </c>
      <c r="S35" s="58">
        <v>1330</v>
      </c>
      <c r="T35" s="58">
        <v>1473</v>
      </c>
    </row>
    <row r="36" spans="1:20" ht="30" customHeight="1" x14ac:dyDescent="0.2">
      <c r="A36" s="74" t="s">
        <v>181</v>
      </c>
      <c r="B36" s="74"/>
      <c r="C36" s="74"/>
      <c r="D36" s="74"/>
      <c r="E36" s="97"/>
      <c r="F36" s="97"/>
      <c r="G36" s="97"/>
      <c r="H36" s="97"/>
      <c r="I36" s="97"/>
      <c r="J36" s="58">
        <v>140</v>
      </c>
      <c r="K36" s="58">
        <v>180</v>
      </c>
      <c r="L36" s="58">
        <v>237</v>
      </c>
      <c r="M36" s="58">
        <v>277</v>
      </c>
      <c r="N36" s="58">
        <v>334</v>
      </c>
      <c r="O36" s="58">
        <v>431</v>
      </c>
      <c r="P36" s="58">
        <v>528</v>
      </c>
      <c r="Q36" s="58">
        <v>624</v>
      </c>
      <c r="R36" s="58">
        <v>818</v>
      </c>
      <c r="S36" s="58">
        <v>899.8</v>
      </c>
      <c r="T36" s="58">
        <v>996.6</v>
      </c>
    </row>
    <row r="37" spans="1:20" ht="30" customHeight="1" x14ac:dyDescent="0.2">
      <c r="A37" s="79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</row>
    <row r="38" spans="1:20" ht="30" customHeight="1" x14ac:dyDescent="0.2">
      <c r="A38" s="80" t="s">
        <v>182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</row>
    <row r="39" spans="1:20" ht="30" customHeight="1" x14ac:dyDescent="0.2">
      <c r="A39" s="68" t="s">
        <v>174</v>
      </c>
      <c r="B39" s="69"/>
      <c r="C39" s="69"/>
      <c r="D39" s="69"/>
      <c r="E39" s="68" t="s">
        <v>156</v>
      </c>
      <c r="F39" s="69"/>
      <c r="G39" s="69"/>
      <c r="H39" s="69"/>
      <c r="I39" s="70"/>
      <c r="J39" s="83" t="s">
        <v>229</v>
      </c>
      <c r="K39" s="84"/>
      <c r="L39" s="84"/>
      <c r="M39" s="84"/>
      <c r="N39" s="84"/>
      <c r="O39" s="84"/>
      <c r="P39" s="84"/>
      <c r="Q39" s="84"/>
      <c r="R39" s="84"/>
      <c r="S39" s="84"/>
      <c r="T39" s="84"/>
    </row>
    <row r="40" spans="1:20" ht="30" customHeight="1" x14ac:dyDescent="0.2">
      <c r="A40" s="71"/>
      <c r="B40" s="72"/>
      <c r="C40" s="72"/>
      <c r="D40" s="72"/>
      <c r="E40" s="71"/>
      <c r="F40" s="72"/>
      <c r="G40" s="72"/>
      <c r="H40" s="72"/>
      <c r="I40" s="73"/>
      <c r="J40" s="83">
        <v>10</v>
      </c>
      <c r="K40" s="85"/>
      <c r="L40" s="83">
        <v>15</v>
      </c>
      <c r="M40" s="85"/>
      <c r="N40" s="83">
        <v>20</v>
      </c>
      <c r="O40" s="85"/>
      <c r="P40" s="83">
        <v>25</v>
      </c>
      <c r="Q40" s="85"/>
      <c r="R40" s="83">
        <v>30</v>
      </c>
      <c r="S40" s="84"/>
      <c r="T40" s="85"/>
    </row>
    <row r="41" spans="1:20" ht="30" customHeight="1" x14ac:dyDescent="0.2">
      <c r="A41" s="94" t="s">
        <v>180</v>
      </c>
      <c r="B41" s="95"/>
      <c r="C41" s="95"/>
      <c r="D41" s="96"/>
      <c r="E41" s="93"/>
      <c r="F41" s="93"/>
      <c r="G41" s="93"/>
      <c r="H41" s="93"/>
      <c r="I41" s="93"/>
      <c r="J41" s="75">
        <v>515</v>
      </c>
      <c r="K41" s="75"/>
      <c r="L41" s="75">
        <v>586</v>
      </c>
      <c r="M41" s="75"/>
      <c r="N41" s="75">
        <v>658</v>
      </c>
      <c r="O41" s="75"/>
      <c r="P41" s="75">
        <v>729</v>
      </c>
      <c r="Q41" s="75"/>
      <c r="R41" s="75">
        <v>801</v>
      </c>
      <c r="S41" s="75"/>
      <c r="T41" s="75"/>
    </row>
    <row r="42" spans="1:20" ht="30" customHeight="1" x14ac:dyDescent="0.2">
      <c r="A42" s="74" t="s">
        <v>181</v>
      </c>
      <c r="B42" s="74"/>
      <c r="C42" s="74"/>
      <c r="D42" s="74"/>
      <c r="E42" s="93"/>
      <c r="F42" s="93"/>
      <c r="G42" s="93"/>
      <c r="H42" s="93"/>
      <c r="I42" s="93"/>
      <c r="J42" s="75">
        <v>364</v>
      </c>
      <c r="K42" s="75"/>
      <c r="L42" s="75">
        <v>448</v>
      </c>
      <c r="M42" s="75"/>
      <c r="N42" s="75">
        <v>590</v>
      </c>
      <c r="O42" s="75"/>
      <c r="P42" s="75">
        <v>590</v>
      </c>
      <c r="Q42" s="75"/>
      <c r="R42" s="75">
        <v>732</v>
      </c>
      <c r="S42" s="75"/>
      <c r="T42" s="75"/>
    </row>
    <row r="43" spans="1:20" ht="20" customHeight="1" x14ac:dyDescent="0.2">
      <c r="A43" s="79" t="s">
        <v>183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</row>
    <row r="44" spans="1:20" ht="30" customHeight="1" x14ac:dyDescent="0.2">
      <c r="A44" s="80" t="s">
        <v>184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</row>
    <row r="45" spans="1:20" ht="30" customHeight="1" x14ac:dyDescent="0.2">
      <c r="A45" s="68" t="s">
        <v>174</v>
      </c>
      <c r="B45" s="69"/>
      <c r="C45" s="69"/>
      <c r="D45" s="69"/>
      <c r="E45" s="68" t="s">
        <v>156</v>
      </c>
      <c r="F45" s="69"/>
      <c r="G45" s="69"/>
      <c r="H45" s="69"/>
      <c r="I45" s="70"/>
      <c r="J45" s="83" t="s">
        <v>230</v>
      </c>
      <c r="K45" s="84"/>
      <c r="L45" s="84"/>
      <c r="M45" s="84"/>
      <c r="N45" s="84"/>
      <c r="O45" s="84"/>
      <c r="P45" s="84"/>
      <c r="Q45" s="84"/>
      <c r="R45" s="84"/>
      <c r="S45" s="84"/>
      <c r="T45" s="84"/>
    </row>
    <row r="46" spans="1:20" ht="30" customHeight="1" x14ac:dyDescent="0.2">
      <c r="A46" s="71"/>
      <c r="B46" s="72"/>
      <c r="C46" s="72"/>
      <c r="D46" s="72"/>
      <c r="E46" s="71"/>
      <c r="F46" s="72"/>
      <c r="G46" s="72"/>
      <c r="H46" s="72"/>
      <c r="I46" s="73"/>
      <c r="J46" s="83">
        <v>14.5</v>
      </c>
      <c r="K46" s="85"/>
      <c r="L46" s="83">
        <v>17</v>
      </c>
      <c r="M46" s="85"/>
      <c r="N46" s="83">
        <v>22</v>
      </c>
      <c r="O46" s="85"/>
      <c r="P46" s="83">
        <v>27</v>
      </c>
      <c r="Q46" s="84"/>
      <c r="R46" s="84"/>
      <c r="S46" s="84"/>
      <c r="T46" s="84"/>
    </row>
    <row r="47" spans="1:20" ht="30" customHeight="1" x14ac:dyDescent="0.2">
      <c r="A47" s="74" t="s">
        <v>185</v>
      </c>
      <c r="B47" s="74"/>
      <c r="C47" s="74"/>
      <c r="D47" s="74"/>
      <c r="E47" s="93"/>
      <c r="F47" s="93"/>
      <c r="G47" s="93"/>
      <c r="H47" s="93"/>
      <c r="I47" s="93"/>
      <c r="J47" s="82">
        <v>200</v>
      </c>
      <c r="K47" s="82"/>
      <c r="L47" s="82">
        <v>250</v>
      </c>
      <c r="M47" s="82"/>
      <c r="N47" s="75">
        <v>472</v>
      </c>
      <c r="O47" s="75"/>
      <c r="P47" s="82">
        <v>543</v>
      </c>
      <c r="Q47" s="82"/>
      <c r="R47" s="82"/>
      <c r="S47" s="82"/>
      <c r="T47" s="82"/>
    </row>
    <row r="48" spans="1:20" ht="30" customHeight="1" x14ac:dyDescent="0.2">
      <c r="A48" s="74" t="s">
        <v>186</v>
      </c>
      <c r="B48" s="74"/>
      <c r="C48" s="74"/>
      <c r="D48" s="74"/>
      <c r="E48" s="93"/>
      <c r="F48" s="93"/>
      <c r="G48" s="93"/>
      <c r="H48" s="93"/>
      <c r="I48" s="93"/>
      <c r="J48" s="75">
        <v>458.41950000000003</v>
      </c>
      <c r="K48" s="75">
        <v>0</v>
      </c>
      <c r="L48" s="75">
        <v>587.01509999999996</v>
      </c>
      <c r="M48" s="75">
        <v>0</v>
      </c>
      <c r="N48" s="75">
        <v>691.79669999999999</v>
      </c>
      <c r="O48" s="75">
        <v>0</v>
      </c>
      <c r="P48" s="75">
        <v>796.57830000000001</v>
      </c>
      <c r="Q48" s="75">
        <v>0</v>
      </c>
      <c r="R48" s="75">
        <v>0</v>
      </c>
      <c r="S48" s="75">
        <v>0</v>
      </c>
      <c r="T48" s="75">
        <v>0</v>
      </c>
    </row>
    <row r="49" spans="1:20" ht="20" customHeight="1" x14ac:dyDescent="0.2">
      <c r="A49" s="79" t="s">
        <v>187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</row>
    <row r="50" spans="1:20" ht="30" customHeight="1" x14ac:dyDescent="0.2">
      <c r="A50" s="80" t="s">
        <v>188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</row>
    <row r="51" spans="1:20" ht="30" customHeight="1" x14ac:dyDescent="0.2">
      <c r="A51" s="68" t="s">
        <v>174</v>
      </c>
      <c r="B51" s="69"/>
      <c r="C51" s="69"/>
      <c r="D51" s="70"/>
      <c r="E51" s="68" t="s">
        <v>156</v>
      </c>
      <c r="F51" s="69"/>
      <c r="G51" s="69"/>
      <c r="H51" s="69"/>
      <c r="I51" s="70"/>
      <c r="J51" s="83" t="s">
        <v>231</v>
      </c>
      <c r="K51" s="84"/>
      <c r="L51" s="84"/>
      <c r="M51" s="84"/>
      <c r="N51" s="84"/>
      <c r="O51" s="84"/>
      <c r="P51" s="84"/>
      <c r="Q51" s="84"/>
      <c r="R51" s="84"/>
      <c r="S51" s="84"/>
      <c r="T51" s="84"/>
    </row>
    <row r="52" spans="1:20" ht="30" customHeight="1" x14ac:dyDescent="0.2">
      <c r="A52" s="71"/>
      <c r="B52" s="72"/>
      <c r="C52" s="72"/>
      <c r="D52" s="73"/>
      <c r="E52" s="71"/>
      <c r="F52" s="72"/>
      <c r="G52" s="72"/>
      <c r="H52" s="72"/>
      <c r="I52" s="73"/>
      <c r="J52" s="83" t="s">
        <v>189</v>
      </c>
      <c r="K52" s="84"/>
      <c r="L52" s="84"/>
      <c r="M52" s="84"/>
      <c r="N52" s="84"/>
      <c r="O52" s="84"/>
      <c r="P52" s="84"/>
      <c r="Q52" s="84"/>
      <c r="R52" s="84"/>
      <c r="S52" s="84"/>
      <c r="T52" s="84"/>
    </row>
    <row r="53" spans="1:20" ht="30" customHeight="1" x14ac:dyDescent="0.2">
      <c r="A53" s="74" t="s">
        <v>180</v>
      </c>
      <c r="B53" s="74"/>
      <c r="C53" s="74"/>
      <c r="D53" s="74"/>
      <c r="E53" s="87"/>
      <c r="F53" s="88"/>
      <c r="G53" s="88"/>
      <c r="H53" s="88"/>
      <c r="I53" s="89"/>
      <c r="J53" s="82">
        <v>200</v>
      </c>
      <c r="K53" s="82"/>
      <c r="L53" s="82"/>
      <c r="M53" s="82"/>
      <c r="N53" s="82"/>
      <c r="O53" s="82"/>
      <c r="P53" s="82"/>
      <c r="Q53" s="82"/>
      <c r="R53" s="82"/>
      <c r="S53" s="82"/>
      <c r="T53" s="82"/>
    </row>
    <row r="54" spans="1:20" ht="30" customHeight="1" x14ac:dyDescent="0.2">
      <c r="A54" s="74" t="s">
        <v>186</v>
      </c>
      <c r="B54" s="74"/>
      <c r="C54" s="74"/>
      <c r="D54" s="74"/>
      <c r="E54" s="90"/>
      <c r="F54" s="91"/>
      <c r="G54" s="91"/>
      <c r="H54" s="91"/>
      <c r="I54" s="92"/>
      <c r="J54" s="86">
        <v>500.09399999999999</v>
      </c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1:20" ht="20" customHeight="1" x14ac:dyDescent="0.2">
      <c r="A55" s="79" t="s">
        <v>187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</row>
    <row r="56" spans="1:20" ht="20" customHeight="1" x14ac:dyDescent="0.2">
      <c r="A56" s="79" t="s">
        <v>183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</row>
    <row r="57" spans="1:20" ht="30" customHeight="1" x14ac:dyDescent="0.2">
      <c r="A57" s="80" t="s">
        <v>190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</row>
    <row r="58" spans="1:20" ht="30" customHeight="1" x14ac:dyDescent="0.2">
      <c r="A58" s="68" t="s">
        <v>174</v>
      </c>
      <c r="B58" s="69"/>
      <c r="C58" s="69"/>
      <c r="D58" s="69"/>
      <c r="E58" s="68" t="s">
        <v>156</v>
      </c>
      <c r="F58" s="69"/>
      <c r="G58" s="69"/>
      <c r="H58" s="69"/>
      <c r="I58" s="70"/>
      <c r="J58" s="83" t="s">
        <v>231</v>
      </c>
      <c r="K58" s="84"/>
      <c r="L58" s="84"/>
      <c r="M58" s="84"/>
      <c r="N58" s="84"/>
      <c r="O58" s="84"/>
      <c r="P58" s="84"/>
      <c r="Q58" s="84"/>
      <c r="R58" s="84"/>
      <c r="S58" s="84"/>
      <c r="T58" s="84"/>
    </row>
    <row r="59" spans="1:20" ht="25" customHeight="1" x14ac:dyDescent="0.2">
      <c r="A59" s="74" t="s">
        <v>180</v>
      </c>
      <c r="B59" s="74"/>
      <c r="C59" s="74"/>
      <c r="D59" s="74"/>
      <c r="E59" s="81"/>
      <c r="F59" s="81"/>
      <c r="G59" s="81"/>
      <c r="H59" s="81"/>
      <c r="I59" s="81"/>
      <c r="J59" s="82">
        <v>121</v>
      </c>
      <c r="K59" s="82"/>
      <c r="L59" s="82"/>
      <c r="M59" s="82"/>
      <c r="N59" s="82"/>
      <c r="O59" s="82"/>
      <c r="P59" s="82"/>
      <c r="Q59" s="82"/>
      <c r="R59" s="82"/>
      <c r="S59" s="82"/>
      <c r="T59" s="82"/>
    </row>
    <row r="60" spans="1:20" ht="25" customHeight="1" x14ac:dyDescent="0.2">
      <c r="A60" s="74" t="s">
        <v>186</v>
      </c>
      <c r="B60" s="74"/>
      <c r="C60" s="74"/>
      <c r="D60" s="74"/>
      <c r="E60" s="81"/>
      <c r="F60" s="81"/>
      <c r="G60" s="81"/>
      <c r="H60" s="81"/>
      <c r="I60" s="81"/>
      <c r="J60" s="75">
        <v>183.36779999999999</v>
      </c>
      <c r="K60" s="75"/>
      <c r="L60" s="75"/>
      <c r="M60" s="75"/>
      <c r="N60" s="75"/>
      <c r="O60" s="75"/>
      <c r="P60" s="75"/>
      <c r="Q60" s="75"/>
      <c r="R60" s="75"/>
      <c r="S60" s="75"/>
      <c r="T60" s="75"/>
    </row>
    <row r="61" spans="1:20" ht="20" customHeight="1" x14ac:dyDescent="0.2">
      <c r="A61" s="79" t="s">
        <v>187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</row>
    <row r="62" spans="1:20" ht="20" customHeight="1" x14ac:dyDescent="0.2">
      <c r="A62" s="79" t="s">
        <v>183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</row>
    <row r="63" spans="1:20" ht="30" customHeight="1" x14ac:dyDescent="0.2">
      <c r="A63" s="80" t="s">
        <v>191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1:20" ht="30" customHeight="1" x14ac:dyDescent="0.2">
      <c r="A64" s="83" t="s">
        <v>174</v>
      </c>
      <c r="B64" s="84"/>
      <c r="C64" s="84"/>
      <c r="D64" s="84"/>
      <c r="E64" s="83" t="s">
        <v>156</v>
      </c>
      <c r="F64" s="84"/>
      <c r="G64" s="84"/>
      <c r="H64" s="84"/>
      <c r="I64" s="85"/>
      <c r="J64" s="83" t="s">
        <v>231</v>
      </c>
      <c r="K64" s="84"/>
      <c r="L64" s="84"/>
      <c r="M64" s="84"/>
      <c r="N64" s="84"/>
      <c r="O64" s="84"/>
      <c r="P64" s="84"/>
      <c r="Q64" s="84"/>
      <c r="R64" s="84"/>
      <c r="S64" s="84"/>
      <c r="T64" s="84"/>
    </row>
    <row r="65" spans="1:20" ht="25" customHeight="1" x14ac:dyDescent="0.2">
      <c r="A65" s="74" t="s">
        <v>180</v>
      </c>
      <c r="B65" s="74"/>
      <c r="C65" s="74"/>
      <c r="D65" s="74"/>
      <c r="E65" s="81"/>
      <c r="F65" s="81"/>
      <c r="G65" s="81"/>
      <c r="H65" s="81"/>
      <c r="I65" s="81"/>
      <c r="J65" s="82">
        <v>165</v>
      </c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1:20" ht="25" customHeight="1" x14ac:dyDescent="0.2">
      <c r="A66" s="74" t="s">
        <v>186</v>
      </c>
      <c r="B66" s="74"/>
      <c r="C66" s="74"/>
      <c r="D66" s="74"/>
      <c r="E66" s="81"/>
      <c r="F66" s="81"/>
      <c r="G66" s="81"/>
      <c r="H66" s="81"/>
      <c r="I66" s="81"/>
      <c r="J66" s="75">
        <v>245.2842</v>
      </c>
      <c r="K66" s="75"/>
      <c r="L66" s="75"/>
      <c r="M66" s="75"/>
      <c r="N66" s="75"/>
      <c r="O66" s="75"/>
      <c r="P66" s="75"/>
      <c r="Q66" s="75"/>
      <c r="R66" s="75"/>
      <c r="S66" s="75"/>
      <c r="T66" s="75"/>
    </row>
    <row r="67" spans="1:20" ht="20" customHeight="1" x14ac:dyDescent="0.2">
      <c r="A67" s="79" t="s">
        <v>192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</row>
    <row r="68" spans="1:20" ht="20" customHeight="1" x14ac:dyDescent="0.2">
      <c r="A68" s="79" t="s">
        <v>183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</row>
    <row r="69" spans="1:20" ht="30" customHeight="1" x14ac:dyDescent="0.2">
      <c r="A69" s="80" t="s">
        <v>193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0" spans="1:20" ht="30" customHeight="1" x14ac:dyDescent="0.2">
      <c r="A70" s="68" t="s">
        <v>174</v>
      </c>
      <c r="B70" s="69"/>
      <c r="C70" s="69"/>
      <c r="D70" s="69"/>
      <c r="E70" s="83" t="s">
        <v>156</v>
      </c>
      <c r="F70" s="84"/>
      <c r="G70" s="84"/>
      <c r="H70" s="84"/>
      <c r="I70" s="85"/>
      <c r="J70" s="83" t="s">
        <v>231</v>
      </c>
      <c r="K70" s="84"/>
      <c r="L70" s="84"/>
      <c r="M70" s="84"/>
      <c r="N70" s="84"/>
      <c r="O70" s="84"/>
      <c r="P70" s="84"/>
      <c r="Q70" s="84"/>
      <c r="R70" s="84"/>
      <c r="S70" s="84"/>
      <c r="T70" s="84"/>
    </row>
    <row r="71" spans="1:20" ht="30" customHeight="1" x14ac:dyDescent="0.2">
      <c r="A71" s="74" t="s">
        <v>180</v>
      </c>
      <c r="B71" s="74"/>
      <c r="C71" s="74"/>
      <c r="D71" s="74"/>
      <c r="E71" s="81"/>
      <c r="F71" s="81"/>
      <c r="G71" s="81"/>
      <c r="H71" s="81"/>
      <c r="I71" s="81"/>
      <c r="J71" s="82">
        <v>228</v>
      </c>
      <c r="K71" s="82"/>
      <c r="L71" s="82"/>
      <c r="M71" s="82"/>
      <c r="N71" s="82"/>
      <c r="O71" s="82"/>
      <c r="P71" s="82"/>
      <c r="Q71" s="82"/>
      <c r="R71" s="82"/>
      <c r="S71" s="82"/>
      <c r="T71" s="82"/>
    </row>
    <row r="72" spans="1:20" ht="25" customHeight="1" x14ac:dyDescent="0.2">
      <c r="A72" s="74" t="s">
        <v>186</v>
      </c>
      <c r="B72" s="74"/>
      <c r="C72" s="74"/>
      <c r="D72" s="74"/>
      <c r="E72" s="81"/>
      <c r="F72" s="81"/>
      <c r="G72" s="81"/>
      <c r="H72" s="81"/>
      <c r="I72" s="81"/>
      <c r="J72" s="75">
        <v>340</v>
      </c>
      <c r="K72" s="75"/>
      <c r="L72" s="75"/>
      <c r="M72" s="75"/>
      <c r="N72" s="75"/>
      <c r="O72" s="75"/>
      <c r="P72" s="75"/>
      <c r="Q72" s="75"/>
      <c r="R72" s="75"/>
      <c r="S72" s="75"/>
      <c r="T72" s="75"/>
    </row>
    <row r="73" spans="1:20" ht="20" customHeight="1" x14ac:dyDescent="0.2">
      <c r="A73" s="79" t="s">
        <v>192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</row>
    <row r="74" spans="1:20" ht="20" customHeight="1" x14ac:dyDescent="0.2">
      <c r="A74" s="79" t="s">
        <v>183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</row>
    <row r="75" spans="1:20" ht="30" customHeight="1" x14ac:dyDescent="0.2">
      <c r="A75" s="80" t="s">
        <v>194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</row>
    <row r="76" spans="1:20" ht="30" customHeight="1" x14ac:dyDescent="0.2">
      <c r="A76" s="68" t="s">
        <v>174</v>
      </c>
      <c r="B76" s="69"/>
      <c r="C76" s="69"/>
      <c r="D76" s="69"/>
      <c r="E76" s="69"/>
      <c r="F76" s="69"/>
      <c r="G76" s="69"/>
      <c r="H76" s="69"/>
      <c r="I76" s="69"/>
      <c r="J76" s="68" t="s">
        <v>195</v>
      </c>
      <c r="K76" s="69"/>
      <c r="L76" s="69"/>
      <c r="M76" s="69"/>
      <c r="N76" s="69"/>
      <c r="O76" s="69"/>
      <c r="P76" s="69"/>
      <c r="Q76" s="69"/>
      <c r="R76" s="69"/>
      <c r="S76" s="69"/>
      <c r="T76" s="69"/>
    </row>
    <row r="77" spans="1:20" ht="30" customHeight="1" x14ac:dyDescent="0.2">
      <c r="A77" s="71"/>
      <c r="B77" s="72"/>
      <c r="C77" s="72"/>
      <c r="D77" s="72"/>
      <c r="E77" s="72"/>
      <c r="F77" s="72"/>
      <c r="G77" s="72"/>
      <c r="H77" s="72"/>
      <c r="I77" s="72"/>
      <c r="J77" s="71"/>
      <c r="K77" s="72"/>
      <c r="L77" s="72"/>
      <c r="M77" s="72"/>
      <c r="N77" s="72"/>
      <c r="O77" s="72"/>
      <c r="P77" s="72"/>
      <c r="Q77" s="72"/>
      <c r="R77" s="72"/>
      <c r="S77" s="72"/>
      <c r="T77" s="72"/>
    </row>
    <row r="78" spans="1:20" ht="20" customHeight="1" x14ac:dyDescent="0.2">
      <c r="A78" s="74" t="s">
        <v>180</v>
      </c>
      <c r="B78" s="74"/>
      <c r="C78" s="74"/>
      <c r="D78" s="74"/>
      <c r="E78" s="74"/>
      <c r="F78" s="74"/>
      <c r="G78" s="74"/>
      <c r="H78" s="74"/>
      <c r="I78" s="74"/>
      <c r="J78" s="75">
        <v>1320</v>
      </c>
      <c r="K78" s="75"/>
      <c r="L78" s="75"/>
      <c r="M78" s="75"/>
      <c r="N78" s="75"/>
      <c r="O78" s="75"/>
      <c r="P78" s="75"/>
      <c r="Q78" s="75"/>
      <c r="R78" s="75"/>
      <c r="S78" s="75"/>
      <c r="T78" s="75"/>
    </row>
    <row r="79" spans="1:20" ht="20" customHeight="1" x14ac:dyDescent="0.2">
      <c r="A79" s="74" t="s">
        <v>181</v>
      </c>
      <c r="B79" s="74"/>
      <c r="C79" s="74"/>
      <c r="D79" s="74"/>
      <c r="E79" s="74"/>
      <c r="F79" s="74"/>
      <c r="G79" s="74"/>
      <c r="H79" s="74"/>
      <c r="I79" s="74"/>
      <c r="J79" s="75">
        <v>950</v>
      </c>
      <c r="K79" s="75"/>
      <c r="L79" s="75"/>
      <c r="M79" s="75"/>
      <c r="N79" s="75"/>
      <c r="O79" s="75"/>
      <c r="P79" s="75"/>
      <c r="Q79" s="75"/>
      <c r="R79" s="75"/>
      <c r="S79" s="75"/>
      <c r="T79" s="75"/>
    </row>
    <row r="80" spans="1:20" ht="20" customHeight="1" x14ac:dyDescent="0.2">
      <c r="A80" s="74" t="s">
        <v>186</v>
      </c>
      <c r="B80" s="74"/>
      <c r="C80" s="74"/>
      <c r="D80" s="74"/>
      <c r="E80" s="74"/>
      <c r="F80" s="74"/>
      <c r="G80" s="74"/>
      <c r="H80" s="74"/>
      <c r="I80" s="74"/>
      <c r="J80" s="75">
        <v>1882.44</v>
      </c>
      <c r="K80" s="75"/>
      <c r="L80" s="75"/>
      <c r="M80" s="75"/>
      <c r="N80" s="75"/>
      <c r="O80" s="75"/>
      <c r="P80" s="75"/>
      <c r="Q80" s="75"/>
      <c r="R80" s="75"/>
      <c r="S80" s="75"/>
      <c r="T80" s="75"/>
    </row>
    <row r="81" spans="1:20" x14ac:dyDescent="0.2">
      <c r="A81" s="51" t="s">
        <v>196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</row>
    <row r="82" spans="1:20" x14ac:dyDescent="0.2">
      <c r="A82" s="51" t="s">
        <v>197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</row>
    <row r="83" spans="1:20" x14ac:dyDescent="0.2">
      <c r="A83" s="51" t="s">
        <v>198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</row>
    <row r="84" spans="1:20" x14ac:dyDescent="0.2">
      <c r="A84" s="51" t="s">
        <v>199</v>
      </c>
      <c r="B84" s="51"/>
      <c r="C84" s="51"/>
      <c r="D84" s="51"/>
      <c r="E84" s="53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</row>
    <row r="85" spans="1:20" x14ac:dyDescent="0.2">
      <c r="A85" s="51" t="s">
        <v>200</v>
      </c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</row>
    <row r="86" spans="1:20" x14ac:dyDescent="0.2">
      <c r="A86" s="51" t="s">
        <v>201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</row>
    <row r="87" spans="1:20" x14ac:dyDescent="0.2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</row>
    <row r="88" spans="1:20" x14ac:dyDescent="0.2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</row>
  </sheetData>
  <sheetProtection password="C7B8" sheet="1" objects="1" scenarios="1"/>
  <mergeCells count="156">
    <mergeCell ref="A1:T7"/>
    <mergeCell ref="A9:T9"/>
    <mergeCell ref="A10:T10"/>
    <mergeCell ref="A11:T11"/>
    <mergeCell ref="A15:D15"/>
    <mergeCell ref="E15:L15"/>
    <mergeCell ref="O15:S15"/>
    <mergeCell ref="A16:D16"/>
    <mergeCell ref="E16:L16"/>
    <mergeCell ref="O16:S16"/>
    <mergeCell ref="A12:D14"/>
    <mergeCell ref="E12:L14"/>
    <mergeCell ref="M12:M14"/>
    <mergeCell ref="N12:N14"/>
    <mergeCell ref="O12:T12"/>
    <mergeCell ref="O13:S13"/>
    <mergeCell ref="O14:S14"/>
    <mergeCell ref="A19:D19"/>
    <mergeCell ref="E19:L19"/>
    <mergeCell ref="O19:S19"/>
    <mergeCell ref="A20:D20"/>
    <mergeCell ref="E20:L20"/>
    <mergeCell ref="O20:T20"/>
    <mergeCell ref="A17:D17"/>
    <mergeCell ref="E17:L17"/>
    <mergeCell ref="O17:S17"/>
    <mergeCell ref="A18:D18"/>
    <mergeCell ref="E18:L18"/>
    <mergeCell ref="O18:T18"/>
    <mergeCell ref="A23:D23"/>
    <mergeCell ref="E23:L23"/>
    <mergeCell ref="O23:S23"/>
    <mergeCell ref="A24:D24"/>
    <mergeCell ref="E24:L24"/>
    <mergeCell ref="O24:S24"/>
    <mergeCell ref="A21:D21"/>
    <mergeCell ref="E21:L21"/>
    <mergeCell ref="O21:S21"/>
    <mergeCell ref="A22:D22"/>
    <mergeCell ref="E22:L22"/>
    <mergeCell ref="O22:T22"/>
    <mergeCell ref="A30:T30"/>
    <mergeCell ref="A31:T31"/>
    <mergeCell ref="A32:T32"/>
    <mergeCell ref="A33:D34"/>
    <mergeCell ref="E33:I34"/>
    <mergeCell ref="J33:T33"/>
    <mergeCell ref="A25:T25"/>
    <mergeCell ref="A26:D27"/>
    <mergeCell ref="E26:I27"/>
    <mergeCell ref="J26:T26"/>
    <mergeCell ref="A28:D28"/>
    <mergeCell ref="E28:I29"/>
    <mergeCell ref="A29:D29"/>
    <mergeCell ref="A35:D35"/>
    <mergeCell ref="E35:I36"/>
    <mergeCell ref="A36:D36"/>
    <mergeCell ref="A37:T37"/>
    <mergeCell ref="A38:T38"/>
    <mergeCell ref="A39:D40"/>
    <mergeCell ref="E39:I40"/>
    <mergeCell ref="J39:T39"/>
    <mergeCell ref="J40:K40"/>
    <mergeCell ref="L40:M40"/>
    <mergeCell ref="A42:D42"/>
    <mergeCell ref="J42:K42"/>
    <mergeCell ref="L42:M42"/>
    <mergeCell ref="N42:O42"/>
    <mergeCell ref="P42:Q42"/>
    <mergeCell ref="R42:T42"/>
    <mergeCell ref="N40:O40"/>
    <mergeCell ref="P40:Q40"/>
    <mergeCell ref="R40:T40"/>
    <mergeCell ref="A41:D41"/>
    <mergeCell ref="E41:I42"/>
    <mergeCell ref="J41:K41"/>
    <mergeCell ref="L41:M41"/>
    <mergeCell ref="N41:O41"/>
    <mergeCell ref="P41:Q41"/>
    <mergeCell ref="R41:T41"/>
    <mergeCell ref="A43:T43"/>
    <mergeCell ref="A44:T44"/>
    <mergeCell ref="A45:D46"/>
    <mergeCell ref="E45:I46"/>
    <mergeCell ref="J45:T45"/>
    <mergeCell ref="J46:K46"/>
    <mergeCell ref="L46:M46"/>
    <mergeCell ref="N46:O46"/>
    <mergeCell ref="P46:T46"/>
    <mergeCell ref="A47:D47"/>
    <mergeCell ref="E47:I48"/>
    <mergeCell ref="J47:K47"/>
    <mergeCell ref="L47:M47"/>
    <mergeCell ref="N47:O47"/>
    <mergeCell ref="P47:T47"/>
    <mergeCell ref="A48:D48"/>
    <mergeCell ref="J48:K48"/>
    <mergeCell ref="L48:M48"/>
    <mergeCell ref="N48:O48"/>
    <mergeCell ref="P48:T48"/>
    <mergeCell ref="A49:T49"/>
    <mergeCell ref="A50:T50"/>
    <mergeCell ref="A51:D52"/>
    <mergeCell ref="J51:T51"/>
    <mergeCell ref="J52:T52"/>
    <mergeCell ref="A53:D53"/>
    <mergeCell ref="J53:T53"/>
    <mergeCell ref="A54:D54"/>
    <mergeCell ref="A59:D59"/>
    <mergeCell ref="E59:I60"/>
    <mergeCell ref="J59:T59"/>
    <mergeCell ref="A60:D60"/>
    <mergeCell ref="J60:T60"/>
    <mergeCell ref="A61:T61"/>
    <mergeCell ref="J54:T54"/>
    <mergeCell ref="A55:T55"/>
    <mergeCell ref="A56:T56"/>
    <mergeCell ref="A57:T57"/>
    <mergeCell ref="A58:D58"/>
    <mergeCell ref="E58:I58"/>
    <mergeCell ref="J58:T58"/>
    <mergeCell ref="E53:I54"/>
    <mergeCell ref="A62:T62"/>
    <mergeCell ref="A63:T63"/>
    <mergeCell ref="A64:D64"/>
    <mergeCell ref="E64:I64"/>
    <mergeCell ref="J64:T64"/>
    <mergeCell ref="A65:D65"/>
    <mergeCell ref="E65:I66"/>
    <mergeCell ref="J65:T65"/>
    <mergeCell ref="A66:D66"/>
    <mergeCell ref="J66:T66"/>
    <mergeCell ref="E51:I52"/>
    <mergeCell ref="A79:I79"/>
    <mergeCell ref="J79:T79"/>
    <mergeCell ref="A80:I80"/>
    <mergeCell ref="J80:T80"/>
    <mergeCell ref="A8:T8"/>
    <mergeCell ref="A74:T74"/>
    <mergeCell ref="A75:T75"/>
    <mergeCell ref="A76:I77"/>
    <mergeCell ref="J76:T77"/>
    <mergeCell ref="A78:I78"/>
    <mergeCell ref="J78:T78"/>
    <mergeCell ref="A71:D71"/>
    <mergeCell ref="E71:I72"/>
    <mergeCell ref="J71:T71"/>
    <mergeCell ref="A72:D72"/>
    <mergeCell ref="J72:T72"/>
    <mergeCell ref="A73:T73"/>
    <mergeCell ref="A67:T67"/>
    <mergeCell ref="A68:T68"/>
    <mergeCell ref="A69:T69"/>
    <mergeCell ref="A70:D70"/>
    <mergeCell ref="E70:I70"/>
    <mergeCell ref="J70:T7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workbookViewId="0">
      <selection activeCell="R4" sqref="R4"/>
    </sheetView>
  </sheetViews>
  <sheetFormatPr baseColWidth="10" defaultRowHeight="16" x14ac:dyDescent="0.2"/>
  <cols>
    <col min="1" max="1" width="26.83203125" style="1" customWidth="1"/>
    <col min="2" max="2" width="36.1640625" style="1" customWidth="1"/>
    <col min="3" max="6" width="10.83203125" style="1"/>
    <col min="7" max="9" width="14" style="1" customWidth="1"/>
    <col min="10" max="10" width="10.83203125" style="1"/>
    <col min="11" max="11" width="8.1640625" style="1" customWidth="1"/>
    <col min="12" max="12" width="6.6640625" style="1" customWidth="1"/>
    <col min="13" max="13" width="8.83203125" style="1" customWidth="1"/>
    <col min="14" max="14" width="4.5" style="1" customWidth="1"/>
    <col min="15" max="16384" width="10.83203125" style="1"/>
  </cols>
  <sheetData>
    <row r="1" spans="1:20" ht="111" customHeight="1" x14ac:dyDescent="0.2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20" ht="29" customHeight="1" x14ac:dyDescent="0.2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</row>
    <row r="3" spans="1:20" ht="30" customHeight="1" x14ac:dyDescent="0.2">
      <c r="A3" s="113" t="s">
        <v>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20" ht="40" customHeight="1" x14ac:dyDescent="0.2">
      <c r="A4" s="110" t="s">
        <v>202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</row>
    <row r="5" spans="1:20" ht="30" customHeight="1" x14ac:dyDescent="0.2">
      <c r="A5" s="115" t="s">
        <v>203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6" spans="1:20" ht="30" customHeight="1" x14ac:dyDescent="0.2">
      <c r="A6" s="3" t="s">
        <v>174</v>
      </c>
      <c r="B6" s="3" t="s">
        <v>204</v>
      </c>
      <c r="C6" s="123" t="s">
        <v>205</v>
      </c>
      <c r="D6" s="123"/>
      <c r="E6" s="123"/>
      <c r="F6" s="123"/>
      <c r="G6" s="123" t="s">
        <v>206</v>
      </c>
      <c r="H6" s="123"/>
      <c r="I6" s="123"/>
      <c r="J6" s="123" t="s">
        <v>207</v>
      </c>
      <c r="K6" s="123" t="s">
        <v>208</v>
      </c>
      <c r="L6" s="123"/>
      <c r="M6" s="123"/>
      <c r="N6" s="123"/>
      <c r="O6" s="123"/>
    </row>
    <row r="7" spans="1:20" ht="30" customHeight="1" x14ac:dyDescent="0.2">
      <c r="A7" s="123" t="s">
        <v>209</v>
      </c>
      <c r="B7" s="123"/>
      <c r="C7" s="123" t="s">
        <v>210</v>
      </c>
      <c r="D7" s="123"/>
      <c r="E7" s="123"/>
      <c r="F7" s="3" t="s">
        <v>211</v>
      </c>
      <c r="G7" s="123"/>
      <c r="H7" s="123"/>
      <c r="I7" s="123"/>
      <c r="J7" s="123"/>
      <c r="K7" s="123"/>
      <c r="L7" s="123"/>
      <c r="M7" s="123"/>
      <c r="N7" s="123"/>
      <c r="O7" s="123"/>
    </row>
    <row r="8" spans="1:20" ht="30" customHeight="1" x14ac:dyDescent="0.2">
      <c r="A8" s="80" t="s">
        <v>212</v>
      </c>
      <c r="B8" s="80"/>
      <c r="C8" s="121">
        <v>500</v>
      </c>
      <c r="D8" s="121"/>
      <c r="E8" s="121"/>
      <c r="F8" s="121">
        <v>500</v>
      </c>
      <c r="G8" s="122"/>
      <c r="H8" s="122"/>
      <c r="I8" s="122"/>
      <c r="J8" s="116">
        <v>2600</v>
      </c>
      <c r="K8" s="117">
        <f>(C8+F8)*J8/1000</f>
        <v>2600</v>
      </c>
      <c r="L8" s="117"/>
      <c r="M8" s="117"/>
      <c r="N8" s="117"/>
      <c r="O8" s="117"/>
      <c r="P8" s="59"/>
      <c r="Q8" s="59"/>
      <c r="R8" s="59"/>
      <c r="S8" s="59"/>
      <c r="T8" s="59"/>
    </row>
    <row r="9" spans="1:20" ht="42" customHeight="1" x14ac:dyDescent="0.2">
      <c r="A9" s="65" t="s">
        <v>213</v>
      </c>
      <c r="B9" s="118" t="s">
        <v>233</v>
      </c>
      <c r="C9" s="121"/>
      <c r="D9" s="121"/>
      <c r="E9" s="121"/>
      <c r="F9" s="121"/>
      <c r="G9" s="122"/>
      <c r="H9" s="122"/>
      <c r="I9" s="122"/>
      <c r="J9" s="116"/>
      <c r="K9" s="117"/>
      <c r="L9" s="117"/>
      <c r="M9" s="117"/>
      <c r="N9" s="117"/>
      <c r="O9" s="117"/>
      <c r="P9" s="59"/>
      <c r="Q9" s="59"/>
      <c r="R9" s="59"/>
      <c r="S9" s="59"/>
      <c r="T9" s="59"/>
    </row>
    <row r="10" spans="1:20" ht="42" customHeight="1" x14ac:dyDescent="0.2">
      <c r="A10" s="65" t="s">
        <v>214</v>
      </c>
      <c r="B10" s="119"/>
      <c r="C10" s="121"/>
      <c r="D10" s="121"/>
      <c r="E10" s="121"/>
      <c r="F10" s="121"/>
      <c r="G10" s="122"/>
      <c r="H10" s="122"/>
      <c r="I10" s="122"/>
      <c r="J10" s="66">
        <v>2900</v>
      </c>
      <c r="K10" s="114">
        <f>(C8+F8)*J10/1000</f>
        <v>2900</v>
      </c>
      <c r="L10" s="114"/>
      <c r="M10" s="114"/>
      <c r="N10" s="114"/>
      <c r="O10" s="114"/>
      <c r="P10" s="59"/>
      <c r="Q10" s="59"/>
      <c r="R10" s="59"/>
      <c r="S10" s="59"/>
      <c r="T10" s="59"/>
    </row>
    <row r="11" spans="1:20" ht="30" customHeight="1" x14ac:dyDescent="0.2">
      <c r="A11" s="80" t="s">
        <v>215</v>
      </c>
      <c r="B11" s="80"/>
      <c r="C11" s="121"/>
      <c r="D11" s="121"/>
      <c r="E11" s="121"/>
      <c r="F11" s="121"/>
      <c r="G11" s="122"/>
      <c r="H11" s="122"/>
      <c r="I11" s="122"/>
      <c r="J11" s="116">
        <v>4100</v>
      </c>
      <c r="K11" s="117">
        <f>(C8+F8)*J11/1000</f>
        <v>4100</v>
      </c>
      <c r="L11" s="117"/>
      <c r="M11" s="117"/>
      <c r="N11" s="117"/>
      <c r="O11" s="117"/>
      <c r="P11" s="59"/>
      <c r="Q11" s="59"/>
      <c r="R11" s="59"/>
      <c r="S11" s="59"/>
      <c r="T11" s="59"/>
    </row>
    <row r="12" spans="1:20" ht="20" customHeight="1" x14ac:dyDescent="0.2">
      <c r="A12" s="65" t="s">
        <v>216</v>
      </c>
      <c r="B12" s="118" t="s">
        <v>234</v>
      </c>
      <c r="C12" s="121"/>
      <c r="D12" s="121"/>
      <c r="E12" s="121"/>
      <c r="F12" s="121"/>
      <c r="G12" s="122"/>
      <c r="H12" s="122"/>
      <c r="I12" s="122"/>
      <c r="J12" s="116"/>
      <c r="K12" s="117"/>
      <c r="L12" s="117"/>
      <c r="M12" s="117"/>
      <c r="N12" s="117"/>
      <c r="O12" s="117"/>
      <c r="P12" s="59"/>
      <c r="Q12" s="59"/>
      <c r="R12" s="59"/>
      <c r="S12" s="59"/>
      <c r="T12" s="59"/>
    </row>
    <row r="13" spans="1:20" ht="20" customHeight="1" x14ac:dyDescent="0.2">
      <c r="A13" s="65" t="s">
        <v>217</v>
      </c>
      <c r="B13" s="119"/>
      <c r="C13" s="121"/>
      <c r="D13" s="121"/>
      <c r="E13" s="121"/>
      <c r="F13" s="121"/>
      <c r="G13" s="122"/>
      <c r="H13" s="122"/>
      <c r="I13" s="122"/>
      <c r="J13" s="66">
        <v>4800</v>
      </c>
      <c r="K13" s="114">
        <f>(C8+F8)*J13/1000</f>
        <v>4800</v>
      </c>
      <c r="L13" s="114"/>
      <c r="M13" s="114"/>
      <c r="N13" s="114"/>
      <c r="O13" s="114"/>
      <c r="P13" s="59"/>
      <c r="Q13" s="59"/>
      <c r="R13" s="59"/>
      <c r="S13" s="59"/>
      <c r="T13" s="59"/>
    </row>
    <row r="14" spans="1:20" ht="20" customHeight="1" x14ac:dyDescent="0.2">
      <c r="A14" s="65" t="s">
        <v>24</v>
      </c>
      <c r="B14" s="119"/>
      <c r="C14" s="121"/>
      <c r="D14" s="121"/>
      <c r="E14" s="121"/>
      <c r="F14" s="121"/>
      <c r="G14" s="122"/>
      <c r="H14" s="122"/>
      <c r="I14" s="122"/>
      <c r="J14" s="66">
        <v>5050</v>
      </c>
      <c r="K14" s="114">
        <f>(C8+F8)*J14/1000</f>
        <v>5050</v>
      </c>
      <c r="L14" s="114"/>
      <c r="M14" s="114"/>
      <c r="N14" s="114"/>
      <c r="O14" s="114"/>
      <c r="P14" s="59"/>
      <c r="Q14" s="59"/>
      <c r="R14" s="59"/>
      <c r="S14" s="59"/>
      <c r="T14" s="59"/>
    </row>
    <row r="15" spans="1:20" ht="20" customHeight="1" x14ac:dyDescent="0.2">
      <c r="A15" s="65" t="s">
        <v>218</v>
      </c>
      <c r="B15" s="119"/>
      <c r="C15" s="121"/>
      <c r="D15" s="121"/>
      <c r="E15" s="121"/>
      <c r="F15" s="121"/>
      <c r="G15" s="122"/>
      <c r="H15" s="122"/>
      <c r="I15" s="122"/>
      <c r="J15" s="66">
        <v>5200</v>
      </c>
      <c r="K15" s="114">
        <f>(C8+F8)*J15/1000</f>
        <v>5200</v>
      </c>
      <c r="L15" s="114"/>
      <c r="M15" s="114"/>
      <c r="N15" s="114"/>
      <c r="O15" s="114"/>
      <c r="P15" s="59"/>
      <c r="Q15" s="59"/>
      <c r="R15" s="59"/>
      <c r="S15" s="59"/>
      <c r="T15" s="59"/>
    </row>
    <row r="16" spans="1:20" ht="20" customHeight="1" x14ac:dyDescent="0.2">
      <c r="A16" s="65" t="s">
        <v>219</v>
      </c>
      <c r="B16" s="119"/>
      <c r="C16" s="121"/>
      <c r="D16" s="121"/>
      <c r="E16" s="121"/>
      <c r="F16" s="121"/>
      <c r="G16" s="122"/>
      <c r="H16" s="122"/>
      <c r="I16" s="122"/>
      <c r="J16" s="66">
        <v>6150</v>
      </c>
      <c r="K16" s="114">
        <f>(C8+F8)*J16/1000</f>
        <v>6150</v>
      </c>
      <c r="L16" s="114"/>
      <c r="M16" s="114"/>
      <c r="N16" s="114"/>
      <c r="O16" s="114"/>
      <c r="P16" s="59"/>
      <c r="Q16" s="59"/>
      <c r="R16" s="59"/>
      <c r="S16" s="59"/>
      <c r="T16" s="59"/>
    </row>
    <row r="17" spans="1:20" ht="20" customHeight="1" x14ac:dyDescent="0.2">
      <c r="A17" s="65" t="s">
        <v>22</v>
      </c>
      <c r="B17" s="119"/>
      <c r="C17" s="121"/>
      <c r="D17" s="121"/>
      <c r="E17" s="121"/>
      <c r="F17" s="121"/>
      <c r="G17" s="122"/>
      <c r="H17" s="122"/>
      <c r="I17" s="122"/>
      <c r="J17" s="66">
        <v>5700</v>
      </c>
      <c r="K17" s="114">
        <f>(C8+F8)*J17/1000</f>
        <v>5700</v>
      </c>
      <c r="L17" s="114"/>
      <c r="M17" s="114"/>
      <c r="N17" s="114"/>
      <c r="O17" s="114"/>
      <c r="P17" s="59"/>
      <c r="Q17" s="59"/>
      <c r="R17" s="59"/>
      <c r="S17" s="59"/>
      <c r="T17" s="59"/>
    </row>
    <row r="18" spans="1:20" ht="20" customHeight="1" x14ac:dyDescent="0.2">
      <c r="A18" s="65" t="s">
        <v>127</v>
      </c>
      <c r="B18" s="119"/>
      <c r="C18" s="121"/>
      <c r="D18" s="121"/>
      <c r="E18" s="121"/>
      <c r="F18" s="121"/>
      <c r="G18" s="122"/>
      <c r="H18" s="122"/>
      <c r="I18" s="122"/>
      <c r="J18" s="66">
        <v>5900</v>
      </c>
      <c r="K18" s="114">
        <f>(C8+F8)*J18/1000</f>
        <v>5900</v>
      </c>
      <c r="L18" s="114"/>
      <c r="M18" s="114"/>
      <c r="N18" s="114"/>
      <c r="O18" s="114"/>
      <c r="P18" s="59"/>
      <c r="Q18" s="59"/>
      <c r="R18" s="59"/>
      <c r="S18" s="59"/>
      <c r="T18" s="59"/>
    </row>
    <row r="19" spans="1:20" ht="20" customHeight="1" x14ac:dyDescent="0.2">
      <c r="A19" s="65" t="s">
        <v>124</v>
      </c>
      <c r="B19" s="119"/>
      <c r="C19" s="121"/>
      <c r="D19" s="121"/>
      <c r="E19" s="121"/>
      <c r="F19" s="121"/>
      <c r="G19" s="122"/>
      <c r="H19" s="122"/>
      <c r="I19" s="122"/>
      <c r="J19" s="66">
        <v>5900</v>
      </c>
      <c r="K19" s="114">
        <f>(C8+F8)*J19/1000</f>
        <v>5900</v>
      </c>
      <c r="L19" s="114"/>
      <c r="M19" s="114"/>
      <c r="N19" s="114"/>
      <c r="O19" s="114"/>
      <c r="P19" s="59"/>
      <c r="Q19" s="59"/>
      <c r="R19" s="59"/>
      <c r="S19" s="59"/>
      <c r="T19" s="59"/>
    </row>
    <row r="20" spans="1:20" ht="20" customHeight="1" x14ac:dyDescent="0.2">
      <c r="A20" s="65" t="s">
        <v>220</v>
      </c>
      <c r="B20" s="119"/>
      <c r="C20" s="121"/>
      <c r="D20" s="121"/>
      <c r="E20" s="121"/>
      <c r="F20" s="121"/>
      <c r="G20" s="122"/>
      <c r="H20" s="122"/>
      <c r="I20" s="122"/>
      <c r="J20" s="66">
        <v>6150</v>
      </c>
      <c r="K20" s="114">
        <f>(C8+F8)*J20/1000</f>
        <v>6150</v>
      </c>
      <c r="L20" s="114"/>
      <c r="M20" s="114"/>
      <c r="N20" s="114"/>
      <c r="O20" s="114"/>
      <c r="P20" s="59"/>
      <c r="Q20" s="59"/>
      <c r="R20" s="59"/>
      <c r="S20" s="59"/>
      <c r="T20" s="59"/>
    </row>
    <row r="21" spans="1:20" ht="20" customHeight="1" x14ac:dyDescent="0.2">
      <c r="A21" s="65" t="s">
        <v>221</v>
      </c>
      <c r="B21" s="119"/>
      <c r="C21" s="121"/>
      <c r="D21" s="121"/>
      <c r="E21" s="121"/>
      <c r="F21" s="121"/>
      <c r="G21" s="122"/>
      <c r="H21" s="122"/>
      <c r="I21" s="122"/>
      <c r="J21" s="66">
        <v>6150</v>
      </c>
      <c r="K21" s="114">
        <f>(C8+F8)*J21/1000</f>
        <v>6150</v>
      </c>
      <c r="L21" s="114"/>
      <c r="M21" s="114"/>
      <c r="N21" s="114"/>
      <c r="O21" s="114"/>
      <c r="P21" s="59"/>
      <c r="Q21" s="59"/>
      <c r="R21" s="59"/>
      <c r="S21" s="59"/>
      <c r="T21" s="59"/>
    </row>
    <row r="22" spans="1:20" ht="20" customHeight="1" x14ac:dyDescent="0.2">
      <c r="A22" s="67" t="s">
        <v>126</v>
      </c>
      <c r="B22" s="119"/>
      <c r="C22" s="121"/>
      <c r="D22" s="121"/>
      <c r="E22" s="121"/>
      <c r="F22" s="121"/>
      <c r="G22" s="122"/>
      <c r="H22" s="122"/>
      <c r="I22" s="122"/>
      <c r="J22" s="66">
        <v>6250</v>
      </c>
      <c r="K22" s="114">
        <f>(C8+F8)*J22/1000</f>
        <v>6250</v>
      </c>
      <c r="L22" s="114"/>
      <c r="M22" s="114"/>
      <c r="N22" s="114"/>
      <c r="O22" s="114"/>
      <c r="P22" s="59"/>
      <c r="Q22" s="59"/>
      <c r="R22" s="59"/>
      <c r="S22" s="59"/>
      <c r="T22" s="59"/>
    </row>
    <row r="23" spans="1:20" ht="20" customHeight="1" x14ac:dyDescent="0.2">
      <c r="A23" s="67" t="s">
        <v>222</v>
      </c>
      <c r="B23" s="120"/>
      <c r="C23" s="121"/>
      <c r="D23" s="121"/>
      <c r="E23" s="121"/>
      <c r="F23" s="121"/>
      <c r="G23" s="122"/>
      <c r="H23" s="122"/>
      <c r="I23" s="122"/>
      <c r="J23" s="66">
        <v>6500</v>
      </c>
      <c r="K23" s="114">
        <f>(C8+F8)*J23/1000</f>
        <v>6500</v>
      </c>
      <c r="L23" s="114"/>
      <c r="M23" s="114"/>
      <c r="N23" s="114"/>
      <c r="O23" s="114"/>
      <c r="P23" s="60"/>
      <c r="Q23" s="60"/>
      <c r="R23" s="60"/>
      <c r="S23" s="60"/>
      <c r="T23" s="60"/>
    </row>
    <row r="24" spans="1:20" ht="20" customHeight="1" x14ac:dyDescent="0.2">
      <c r="A24" s="61" t="s">
        <v>223</v>
      </c>
      <c r="B24" s="62"/>
      <c r="C24" s="62"/>
      <c r="D24" s="62"/>
      <c r="E24" s="62"/>
      <c r="F24" s="62"/>
      <c r="G24" s="63"/>
      <c r="H24" s="63"/>
      <c r="I24" s="63"/>
      <c r="J24" s="63"/>
      <c r="K24" s="63"/>
      <c r="L24" s="64"/>
      <c r="M24" s="64"/>
      <c r="N24" s="64"/>
      <c r="O24" s="64"/>
      <c r="P24" s="60"/>
      <c r="Q24" s="60"/>
      <c r="R24" s="60"/>
      <c r="S24" s="60"/>
      <c r="T24" s="60"/>
    </row>
    <row r="25" spans="1:20" ht="20" customHeight="1" x14ac:dyDescent="0.2">
      <c r="A25" s="60" t="s">
        <v>224</v>
      </c>
      <c r="B25" s="60"/>
      <c r="C25" s="60"/>
      <c r="D25" s="60"/>
      <c r="E25" s="60"/>
      <c r="F25" s="60"/>
      <c r="G25" s="63"/>
      <c r="H25" s="63"/>
      <c r="I25" s="63"/>
      <c r="J25" s="63"/>
      <c r="K25" s="63"/>
      <c r="L25" s="64"/>
      <c r="M25" s="64"/>
      <c r="N25" s="64"/>
      <c r="O25" s="64"/>
      <c r="P25" s="60"/>
      <c r="Q25" s="60"/>
      <c r="R25" s="60"/>
      <c r="S25" s="60"/>
      <c r="T25" s="60"/>
    </row>
    <row r="26" spans="1:20" x14ac:dyDescent="0.2">
      <c r="A26" s="62" t="s">
        <v>225</v>
      </c>
      <c r="B26" s="62"/>
      <c r="C26" s="62"/>
      <c r="D26" s="62"/>
      <c r="E26" s="62"/>
      <c r="F26" s="62"/>
      <c r="G26" s="63"/>
      <c r="H26" s="63"/>
      <c r="I26" s="63"/>
      <c r="J26" s="63"/>
      <c r="K26" s="63"/>
      <c r="L26" s="64"/>
      <c r="M26" s="64"/>
      <c r="N26" s="64"/>
      <c r="O26" s="64"/>
      <c r="P26" s="60"/>
      <c r="Q26" s="60"/>
      <c r="R26" s="60"/>
      <c r="S26" s="60"/>
      <c r="T26" s="60"/>
    </row>
    <row r="27" spans="1:20" x14ac:dyDescent="0.2">
      <c r="A27" s="62" t="s">
        <v>226</v>
      </c>
      <c r="B27" s="62"/>
      <c r="C27" s="62"/>
      <c r="D27" s="62"/>
      <c r="E27" s="62"/>
      <c r="F27" s="62"/>
      <c r="G27" s="63"/>
      <c r="H27" s="63"/>
      <c r="I27" s="63"/>
      <c r="J27" s="63"/>
      <c r="K27" s="63"/>
      <c r="L27" s="64"/>
      <c r="M27" s="64"/>
      <c r="N27" s="64"/>
      <c r="O27" s="64"/>
      <c r="P27" s="60"/>
      <c r="Q27" s="60"/>
      <c r="R27" s="60"/>
      <c r="S27" s="60"/>
      <c r="T27" s="60"/>
    </row>
  </sheetData>
  <sheetProtection password="C7B8" sheet="1" objects="1" scenarios="1"/>
  <mergeCells count="34">
    <mergeCell ref="A7:B7"/>
    <mergeCell ref="C7:E7"/>
    <mergeCell ref="K23:O23"/>
    <mergeCell ref="A5:O5"/>
    <mergeCell ref="A4:O4"/>
    <mergeCell ref="J11:J12"/>
    <mergeCell ref="K11:O12"/>
    <mergeCell ref="B12:B23"/>
    <mergeCell ref="K13:O13"/>
    <mergeCell ref="K14:O14"/>
    <mergeCell ref="K15:O15"/>
    <mergeCell ref="K16:O16"/>
    <mergeCell ref="K17:O17"/>
    <mergeCell ref="K18:O18"/>
    <mergeCell ref="K19:O19"/>
    <mergeCell ref="A8:B8"/>
    <mergeCell ref="C8:E23"/>
    <mergeCell ref="F8:F23"/>
    <mergeCell ref="A1:O2"/>
    <mergeCell ref="A3:O3"/>
    <mergeCell ref="K20:O20"/>
    <mergeCell ref="K21:O21"/>
    <mergeCell ref="K22:O22"/>
    <mergeCell ref="G8:I10"/>
    <mergeCell ref="J8:J9"/>
    <mergeCell ref="K8:O9"/>
    <mergeCell ref="B9:B10"/>
    <mergeCell ref="K10:O10"/>
    <mergeCell ref="A11:B11"/>
    <mergeCell ref="G11:I23"/>
    <mergeCell ref="C6:F6"/>
    <mergeCell ref="G6:I7"/>
    <mergeCell ref="J6:J7"/>
    <mergeCell ref="K6:O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5"/>
    <pageSetUpPr fitToPage="1"/>
  </sheetPr>
  <dimension ref="A1:AZ264"/>
  <sheetViews>
    <sheetView zoomScaleSheetLayoutView="85" workbookViewId="0">
      <selection activeCell="V8" sqref="V8"/>
    </sheetView>
  </sheetViews>
  <sheetFormatPr baseColWidth="10" defaultColWidth="7.83203125" defaultRowHeight="13" x14ac:dyDescent="0.15"/>
  <cols>
    <col min="1" max="1" width="31.6640625" style="4" customWidth="1"/>
    <col min="2" max="2" width="20.6640625" style="4" customWidth="1"/>
    <col min="3" max="3" width="4.83203125" style="4" customWidth="1"/>
    <col min="4" max="4" width="9.1640625" style="4" customWidth="1"/>
    <col min="5" max="20" width="10" style="4" customWidth="1"/>
    <col min="21" max="52" width="7.83203125" style="8"/>
    <col min="53" max="16384" width="7.83203125" style="4"/>
  </cols>
  <sheetData>
    <row r="1" spans="1:52" ht="20" customHeight="1" x14ac:dyDescent="0.15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52" s="5" customFormat="1" ht="20" customHeight="1" x14ac:dyDescent="0.1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</row>
    <row r="3" spans="1:52" s="5" customFormat="1" ht="20" customHeight="1" x14ac:dyDescent="0.15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</row>
    <row r="4" spans="1:52" s="5" customFormat="1" ht="20" customHeight="1" x14ac:dyDescent="0.1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s="5" customFormat="1" ht="20" customHeight="1" x14ac:dyDescent="0.1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s="5" customFormat="1" ht="20" customHeight="1" x14ac:dyDescent="0.1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s="5" customFormat="1" ht="21" customHeight="1" x14ac:dyDescent="0.15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2" ht="30" customHeight="1" x14ac:dyDescent="0.15">
      <c r="A8" s="76" t="s">
        <v>3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8"/>
      <c r="U8" s="49"/>
    </row>
    <row r="9" spans="1:52" ht="40" customHeight="1" x14ac:dyDescent="0.15">
      <c r="A9" s="110" t="s">
        <v>151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49"/>
    </row>
    <row r="10" spans="1:52" ht="30" customHeight="1" x14ac:dyDescent="0.15">
      <c r="A10" s="124" t="s">
        <v>235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5"/>
      <c r="U10" s="49"/>
    </row>
    <row r="11" spans="1:52" ht="20" customHeight="1" x14ac:dyDescent="0.15">
      <c r="A11" s="123" t="s">
        <v>4</v>
      </c>
      <c r="B11" s="123" t="s">
        <v>5</v>
      </c>
      <c r="C11" s="123" t="s">
        <v>6</v>
      </c>
      <c r="D11" s="123" t="s">
        <v>7</v>
      </c>
      <c r="E11" s="123" t="s">
        <v>236</v>
      </c>
      <c r="F11" s="123"/>
      <c r="G11" s="123"/>
      <c r="H11" s="123"/>
      <c r="I11" s="123"/>
      <c r="J11" s="123"/>
      <c r="K11" s="123"/>
      <c r="L11" s="123"/>
      <c r="M11" s="126"/>
      <c r="N11" s="126"/>
      <c r="O11" s="126"/>
      <c r="P11" s="126"/>
      <c r="Q11" s="126"/>
      <c r="R11" s="126"/>
      <c r="S11" s="126"/>
      <c r="T11" s="126"/>
      <c r="U11" s="49"/>
    </row>
    <row r="12" spans="1:52" ht="28" customHeight="1" x14ac:dyDescent="0.15">
      <c r="A12" s="123"/>
      <c r="B12" s="123"/>
      <c r="C12" s="123"/>
      <c r="D12" s="123"/>
      <c r="E12" s="123" t="s">
        <v>8</v>
      </c>
      <c r="F12" s="123"/>
      <c r="G12" s="2"/>
      <c r="H12" s="123" t="s">
        <v>9</v>
      </c>
      <c r="I12" s="123"/>
      <c r="J12" s="123"/>
      <c r="K12" s="123"/>
      <c r="L12" s="123"/>
      <c r="M12" s="123" t="s">
        <v>10</v>
      </c>
      <c r="N12" s="123" t="s">
        <v>11</v>
      </c>
      <c r="O12" s="123" t="s">
        <v>12</v>
      </c>
      <c r="P12" s="123"/>
      <c r="Q12" s="123" t="s">
        <v>13</v>
      </c>
      <c r="R12" s="123"/>
      <c r="S12" s="123" t="s">
        <v>14</v>
      </c>
      <c r="T12" s="123"/>
    </row>
    <row r="13" spans="1:52" ht="34" customHeight="1" x14ac:dyDescent="0.15">
      <c r="A13" s="123"/>
      <c r="B13" s="123"/>
      <c r="C13" s="123"/>
      <c r="D13" s="123"/>
      <c r="E13" s="2" t="s">
        <v>15</v>
      </c>
      <c r="F13" s="2" t="s">
        <v>16</v>
      </c>
      <c r="G13" s="2" t="s">
        <v>17</v>
      </c>
      <c r="H13" s="2" t="s">
        <v>18</v>
      </c>
      <c r="I13" s="2" t="s">
        <v>19</v>
      </c>
      <c r="J13" s="2" t="s">
        <v>20</v>
      </c>
      <c r="K13" s="2" t="s">
        <v>21</v>
      </c>
      <c r="L13" s="2" t="s">
        <v>22</v>
      </c>
      <c r="M13" s="123"/>
      <c r="N13" s="123"/>
      <c r="O13" s="2" t="s">
        <v>23</v>
      </c>
      <c r="P13" s="2" t="s">
        <v>24</v>
      </c>
      <c r="Q13" s="123"/>
      <c r="R13" s="123"/>
      <c r="S13" s="123"/>
      <c r="T13" s="123"/>
    </row>
    <row r="14" spans="1:52" ht="30" customHeight="1" x14ac:dyDescent="0.15">
      <c r="A14" s="2" t="s">
        <v>25</v>
      </c>
      <c r="B14" s="123"/>
      <c r="C14" s="123"/>
      <c r="D14" s="123"/>
      <c r="E14" s="2" t="s">
        <v>26</v>
      </c>
      <c r="F14" s="2" t="s">
        <v>26</v>
      </c>
      <c r="G14" s="2" t="s">
        <v>27</v>
      </c>
      <c r="H14" s="2" t="s">
        <v>28</v>
      </c>
      <c r="I14" s="2" t="s">
        <v>29</v>
      </c>
      <c r="J14" s="2" t="s">
        <v>30</v>
      </c>
      <c r="K14" s="2" t="s">
        <v>31</v>
      </c>
      <c r="L14" s="2" t="s">
        <v>30</v>
      </c>
      <c r="M14" s="2" t="s">
        <v>28</v>
      </c>
      <c r="N14" s="2" t="s">
        <v>32</v>
      </c>
      <c r="O14" s="2" t="s">
        <v>33</v>
      </c>
      <c r="P14" s="2" t="s">
        <v>30</v>
      </c>
      <c r="Q14" s="2">
        <v>0.7</v>
      </c>
      <c r="R14" s="2" t="s">
        <v>34</v>
      </c>
      <c r="S14" s="2" t="s">
        <v>35</v>
      </c>
      <c r="T14" s="2">
        <v>0.7</v>
      </c>
    </row>
    <row r="15" spans="1:52" s="6" customFormat="1" ht="31" customHeight="1" x14ac:dyDescent="0.15">
      <c r="A15" s="137" t="s">
        <v>36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20" customHeight="1" x14ac:dyDescent="0.15">
      <c r="A16" s="128" t="s">
        <v>37</v>
      </c>
      <c r="B16" s="128"/>
      <c r="C16" s="22" t="s">
        <v>38</v>
      </c>
      <c r="D16" s="23">
        <v>0.41599999999999998</v>
      </c>
      <c r="E16" s="21">
        <f>ROUND(645*Belarus*(1-B117),2)</f>
        <v>645</v>
      </c>
      <c r="F16" s="21">
        <f>ROUND(674*Belarus*(1-B117),2)</f>
        <v>674</v>
      </c>
      <c r="G16" s="21">
        <f>ROUND(548*Belarus*(1-B117),2)</f>
        <v>548</v>
      </c>
      <c r="H16" s="24">
        <f>ROUND(762*Belarus*(1-B117),2)</f>
        <v>762</v>
      </c>
      <c r="I16" s="24">
        <f>ROUND(756*Belarus*(1-B117),2)</f>
        <v>756</v>
      </c>
      <c r="J16" s="24">
        <f>ROUND(631*Belarus*(1-B117),2)</f>
        <v>631</v>
      </c>
      <c r="K16" s="24">
        <f>ROUND(621*Belarus*(1-B117),2)</f>
        <v>621</v>
      </c>
      <c r="L16" s="24">
        <f>ROUND(586*Belarus*(1-B117),2)</f>
        <v>586</v>
      </c>
      <c r="M16" s="21">
        <f>ROUND(1003*Belarus*(1-B117),2)</f>
        <v>1003</v>
      </c>
      <c r="N16" s="21">
        <f>ROUND(601*Belarus*(1-B117),2)</f>
        <v>601</v>
      </c>
      <c r="O16" s="24">
        <f>ROUND(499*Belarus*(1-B117),2)</f>
        <v>499</v>
      </c>
      <c r="P16" s="24">
        <f>ROUND(492*Belarus*(1-B117),2)</f>
        <v>492</v>
      </c>
      <c r="Q16" s="21">
        <f>ROUND(651*Belarus*(1-B117),2)</f>
        <v>651</v>
      </c>
      <c r="R16" s="21">
        <f>ROUND(492*Belarus*(1-B117),2)</f>
        <v>492</v>
      </c>
      <c r="S16" s="21">
        <f>ROUND(356*Belarus*(1-B117),2)</f>
        <v>356</v>
      </c>
      <c r="T16" s="21">
        <f>ROUND(501*Belarus*(1-B117),2)</f>
        <v>501</v>
      </c>
    </row>
    <row r="17" spans="1:52" ht="20" customHeight="1" x14ac:dyDescent="0.15">
      <c r="A17" s="128" t="s">
        <v>39</v>
      </c>
      <c r="B17" s="128"/>
      <c r="C17" s="22" t="s">
        <v>38</v>
      </c>
      <c r="D17" s="23">
        <v>0.312</v>
      </c>
      <c r="E17" s="21">
        <f>ROUND(488*Belarus*(1-B117),2)</f>
        <v>488</v>
      </c>
      <c r="F17" s="21">
        <f>ROUND(511*Belarus*(1-B117),2)</f>
        <v>511</v>
      </c>
      <c r="G17" s="21">
        <f>ROUND(416*Belarus*(1-B117),2)</f>
        <v>416</v>
      </c>
      <c r="H17" s="24">
        <f>ROUND(576*Belarus*(1-B117),2)</f>
        <v>576</v>
      </c>
      <c r="I17" s="24">
        <f>ROUND(572*Belarus*(1-B117),2)</f>
        <v>572</v>
      </c>
      <c r="J17" s="24">
        <f>ROUND(478*Belarus*(1-B117),2)</f>
        <v>478</v>
      </c>
      <c r="K17" s="24">
        <f>ROUND(470*Belarus*(1-B117),2)</f>
        <v>470</v>
      </c>
      <c r="L17" s="24">
        <f>ROUND(444*Belarus*(1-B117),2)</f>
        <v>444</v>
      </c>
      <c r="M17" s="21">
        <f>ROUND(757*Belarus*(1-B117),2)</f>
        <v>757</v>
      </c>
      <c r="N17" s="21">
        <f>ROUND(455*Belarus*(1-B117),2)</f>
        <v>455</v>
      </c>
      <c r="O17" s="24">
        <f>ROUND(379*Belarus*(1-B117),2)</f>
        <v>379</v>
      </c>
      <c r="P17" s="24">
        <f>ROUND(374*Belarus*(1-B117),2)</f>
        <v>374</v>
      </c>
      <c r="Q17" s="21">
        <f>ROUND(493*Belarus*(1-B117),2)</f>
        <v>493</v>
      </c>
      <c r="R17" s="21">
        <f>ROUND(374*Belarus*(1-B117),2)</f>
        <v>374</v>
      </c>
      <c r="S17" s="21">
        <f>ROUND(272*Belarus*(1-B117),2)</f>
        <v>272</v>
      </c>
      <c r="T17" s="21">
        <f>ROUND(381*Belarus*(1-B117),2)</f>
        <v>381</v>
      </c>
      <c r="U17" s="10"/>
      <c r="V17" s="10"/>
    </row>
    <row r="18" spans="1:52" ht="20" customHeight="1" x14ac:dyDescent="0.15">
      <c r="A18" s="128" t="s">
        <v>148</v>
      </c>
      <c r="B18" s="25" t="s">
        <v>40</v>
      </c>
      <c r="C18" s="22" t="s">
        <v>38</v>
      </c>
      <c r="D18" s="23">
        <v>0.26</v>
      </c>
      <c r="E18" s="21">
        <f>ROUND(488*Belarus*(1-B117),2)</f>
        <v>488</v>
      </c>
      <c r="F18" s="21">
        <f>ROUND(511*Belarus*(1-B117),2)</f>
        <v>511</v>
      </c>
      <c r="G18" s="21">
        <f>ROUND(416*Belarus*(1-B117),2)</f>
        <v>416</v>
      </c>
      <c r="H18" s="24">
        <f>ROUND(576*Belarus*(1-B117),2)</f>
        <v>576</v>
      </c>
      <c r="I18" s="24">
        <f>ROUND(572*Belarus*(1-B117),2)</f>
        <v>572</v>
      </c>
      <c r="J18" s="24">
        <f>ROUND(478*Belarus*(1-B117),2)</f>
        <v>478</v>
      </c>
      <c r="K18" s="24">
        <f>ROUND(470*Belarus*(1-B117),2)</f>
        <v>470</v>
      </c>
      <c r="L18" s="24">
        <f>ROUND(444*Belarus*(1-B117),2)</f>
        <v>444</v>
      </c>
      <c r="M18" s="21">
        <f>ROUND(757*Belarus*(1-B117),2)</f>
        <v>757</v>
      </c>
      <c r="N18" s="21">
        <f>ROUND(455*Belarus*(1-B117),2)</f>
        <v>455</v>
      </c>
      <c r="O18" s="24">
        <f>ROUND(379*Belarus*(1-B117),2)</f>
        <v>379</v>
      </c>
      <c r="P18" s="24">
        <f>ROUND(374*Belarus*(1-B117),2)</f>
        <v>374</v>
      </c>
      <c r="Q18" s="21">
        <f>ROUND(493*Belarus*(1-B117),2)</f>
        <v>493</v>
      </c>
      <c r="R18" s="21">
        <f>ROUND(374*Belarus*(1-B117),2)</f>
        <v>374</v>
      </c>
      <c r="S18" s="21">
        <f>ROUND(272*Belarus*(1-B117),2)</f>
        <v>272</v>
      </c>
      <c r="T18" s="21">
        <f>ROUND(381*Belarus*(1-B117),2)</f>
        <v>381</v>
      </c>
      <c r="U18" s="10"/>
      <c r="V18" s="10"/>
    </row>
    <row r="19" spans="1:52" s="6" customFormat="1" ht="20" customHeight="1" x14ac:dyDescent="0.15">
      <c r="A19" s="128"/>
      <c r="B19" s="25" t="s">
        <v>41</v>
      </c>
      <c r="C19" s="22" t="s">
        <v>38</v>
      </c>
      <c r="D19" s="23">
        <v>0.312</v>
      </c>
      <c r="E19" s="21">
        <f>ROUND(488*Belarus*(1-B117),2)</f>
        <v>488</v>
      </c>
      <c r="F19" s="21">
        <f>ROUND(511*Belarus*(1-B117),2)</f>
        <v>511</v>
      </c>
      <c r="G19" s="21">
        <f>ROUND(416*Belarus*(1-B117),2)</f>
        <v>416</v>
      </c>
      <c r="H19" s="24">
        <f>ROUND(576*Belarus*(1-B117),2)</f>
        <v>576</v>
      </c>
      <c r="I19" s="24">
        <f>ROUND(572*Belarus*(1-B117),2)</f>
        <v>572</v>
      </c>
      <c r="J19" s="24">
        <f>ROUND(478*Belarus*(1-B117),2)</f>
        <v>478</v>
      </c>
      <c r="K19" s="24">
        <f>ROUND(470*Belarus*(1-B117),2)</f>
        <v>470</v>
      </c>
      <c r="L19" s="24">
        <f>ROUND(444*Belarus*(1-B117),2)</f>
        <v>444</v>
      </c>
      <c r="M19" s="21">
        <f>ROUND(757*Belarus*(1-B117),2)</f>
        <v>757</v>
      </c>
      <c r="N19" s="21">
        <f>ROUND(455*Belarus*(1-B117),2)</f>
        <v>455</v>
      </c>
      <c r="O19" s="24">
        <f>ROUND(379*Belarus*(1-B117),2)</f>
        <v>379</v>
      </c>
      <c r="P19" s="24">
        <f>ROUND(374*Belarus*(1-B117),2)</f>
        <v>374</v>
      </c>
      <c r="Q19" s="21">
        <f>ROUND(493*Belarus*(1-B117),2)</f>
        <v>493</v>
      </c>
      <c r="R19" s="21">
        <f>ROUND(374*Belarus*(1-B117),2)</f>
        <v>374</v>
      </c>
      <c r="S19" s="21">
        <f>ROUND(272*Belarus*(1-B117),2)</f>
        <v>272</v>
      </c>
      <c r="T19" s="21">
        <f>ROUND(381*Belarus*(1-B117),2)</f>
        <v>381</v>
      </c>
      <c r="U19" s="11"/>
      <c r="V19" s="11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s="6" customFormat="1" ht="20" customHeight="1" x14ac:dyDescent="0.15">
      <c r="A20" s="128"/>
      <c r="B20" s="25" t="s">
        <v>42</v>
      </c>
      <c r="C20" s="22" t="s">
        <v>38</v>
      </c>
      <c r="D20" s="23">
        <v>0.41599999999999998</v>
      </c>
      <c r="E20" s="21">
        <f>ROUND(645*Belarus*(1-B117),2)</f>
        <v>645</v>
      </c>
      <c r="F20" s="21">
        <f>ROUND(674*Belarus*(1-B117),2)</f>
        <v>674</v>
      </c>
      <c r="G20" s="21">
        <f>ROUND(548*Belarus*(1-B117),2)</f>
        <v>548</v>
      </c>
      <c r="H20" s="24">
        <f>ROUND(762*Belarus*(1-B117),2)</f>
        <v>762</v>
      </c>
      <c r="I20" s="24">
        <f>ROUND(756*Belarus*(1-B117),2)</f>
        <v>756</v>
      </c>
      <c r="J20" s="24">
        <f>ROUND(631*Belarus*(1-B117),2)</f>
        <v>631</v>
      </c>
      <c r="K20" s="24">
        <f>ROUND(621*Belarus*(1-B117),2)</f>
        <v>621</v>
      </c>
      <c r="L20" s="24">
        <f>ROUND(586*Belarus*(1-B117),2)</f>
        <v>586</v>
      </c>
      <c r="M20" s="21">
        <f>ROUND(1003*Belarus*(1-B117),2)</f>
        <v>1003</v>
      </c>
      <c r="N20" s="21">
        <f>ROUND(601*Belarus*(1-B117),2)</f>
        <v>601</v>
      </c>
      <c r="O20" s="24">
        <f>ROUND(499*Belarus*(1-B117),2)</f>
        <v>499</v>
      </c>
      <c r="P20" s="24">
        <f>ROUND(492*Belarus*(1-B117),2)</f>
        <v>492</v>
      </c>
      <c r="Q20" s="21">
        <f>ROUND(651*Belarus*(1-B117),2)</f>
        <v>651</v>
      </c>
      <c r="R20" s="21">
        <f>ROUND(492*Belarus*(1-B117),2)</f>
        <v>492</v>
      </c>
      <c r="S20" s="21">
        <f>ROUND(356*Belarus*(1-B117),2)</f>
        <v>356</v>
      </c>
      <c r="T20" s="21">
        <f>ROUND(501*Belarus*(1-B117),2)</f>
        <v>501</v>
      </c>
      <c r="U20" s="12"/>
      <c r="V20" s="12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20" customHeight="1" x14ac:dyDescent="0.15">
      <c r="A21" s="128" t="s">
        <v>43</v>
      </c>
      <c r="B21" s="25" t="s">
        <v>44</v>
      </c>
      <c r="C21" s="22" t="s">
        <v>38</v>
      </c>
      <c r="D21" s="23">
        <v>0.312</v>
      </c>
      <c r="E21" s="21">
        <f>ROUND(488*Belarus*(1-B117),2)</f>
        <v>488</v>
      </c>
      <c r="F21" s="21">
        <f>ROUND(511*Belarus*(1-B117),2)</f>
        <v>511</v>
      </c>
      <c r="G21" s="21">
        <f>ROUND(416*Belarus*(1-B117),2)</f>
        <v>416</v>
      </c>
      <c r="H21" s="24">
        <f>ROUND(576*Belarus*(1-B117),2)</f>
        <v>576</v>
      </c>
      <c r="I21" s="24">
        <f>ROUND(572*Belarus*(1-B117),2)</f>
        <v>572</v>
      </c>
      <c r="J21" s="24">
        <f>ROUND(478*Belarus*(1-B117),2)</f>
        <v>478</v>
      </c>
      <c r="K21" s="24">
        <f>ROUND(470*Belarus*(1-B117),2)</f>
        <v>470</v>
      </c>
      <c r="L21" s="24">
        <f>ROUND(444*Belarus*(1-B117),2)</f>
        <v>444</v>
      </c>
      <c r="M21" s="21">
        <f>ROUND(757*Belarus*(1-B117),2)</f>
        <v>757</v>
      </c>
      <c r="N21" s="21">
        <f>ROUND(455*Belarus*(1-B117),2)</f>
        <v>455</v>
      </c>
      <c r="O21" s="24">
        <f>ROUND(379*Belarus*(1-B117),2)</f>
        <v>379</v>
      </c>
      <c r="P21" s="24">
        <f>ROUND(374*Belarus*(1-B117),2)</f>
        <v>374</v>
      </c>
      <c r="Q21" s="21">
        <f>ROUND(493*Belarus*(1-B117),2)</f>
        <v>493</v>
      </c>
      <c r="R21" s="21">
        <f>ROUND(374*Belarus*(1-B117),2)</f>
        <v>374</v>
      </c>
      <c r="S21" s="21">
        <f>ROUND(272*Belarus*(1-B117),2)</f>
        <v>272</v>
      </c>
      <c r="T21" s="21">
        <f>ROUND(381*Belarus*(1-B117),2)</f>
        <v>381</v>
      </c>
      <c r="U21" s="10"/>
      <c r="V21" s="10"/>
    </row>
    <row r="22" spans="1:52" ht="20" customHeight="1" x14ac:dyDescent="0.15">
      <c r="A22" s="128"/>
      <c r="B22" s="26" t="s">
        <v>45</v>
      </c>
      <c r="C22" s="27" t="s">
        <v>38</v>
      </c>
      <c r="D22" s="28">
        <v>0.312</v>
      </c>
      <c r="E22" s="29">
        <f>ROUND(732*Belarus*(1-B117),2)</f>
        <v>732</v>
      </c>
      <c r="F22" s="29">
        <f>ROUND(767*Belarus*(1-B117),2)</f>
        <v>767</v>
      </c>
      <c r="G22" s="29">
        <f>ROUND(624*Belarus*(1-B117),2)</f>
        <v>624</v>
      </c>
      <c r="H22" s="30">
        <f>ROUND(864*Belarus*(1-B117),2)</f>
        <v>864</v>
      </c>
      <c r="I22" s="30">
        <f>ROUND(858*Belarus*(1-B117),2)</f>
        <v>858</v>
      </c>
      <c r="J22" s="30">
        <f>ROUND(717*Belarus*(1-B117),2)</f>
        <v>717</v>
      </c>
      <c r="K22" s="30">
        <f>ROUND(705*Belarus*(1-B117),2)</f>
        <v>705</v>
      </c>
      <c r="L22" s="30">
        <f>ROUND(666*Belarus*(1-B117),2)</f>
        <v>666</v>
      </c>
      <c r="M22" s="29">
        <f>ROUND(1136*Belarus*(1-B117),2)</f>
        <v>1136</v>
      </c>
      <c r="N22" s="29">
        <f>ROUND(683*Belarus*(1-B117),2)</f>
        <v>683</v>
      </c>
      <c r="O22" s="30">
        <f>ROUND(569*Belarus*(1-B117),2)</f>
        <v>569</v>
      </c>
      <c r="P22" s="30">
        <f>ROUND(561*Belarus*(1-B117),2)</f>
        <v>561</v>
      </c>
      <c r="Q22" s="29">
        <f>ROUND(740*Belarus*(1-B117),2)</f>
        <v>740</v>
      </c>
      <c r="R22" s="29">
        <f>ROUND(561*Belarus*(1-B117),2)</f>
        <v>561</v>
      </c>
      <c r="S22" s="29">
        <f>ROUND(408*Belarus*(1-B117),2)</f>
        <v>408</v>
      </c>
      <c r="T22" s="29">
        <f>ROUND(572*Belarus*(1-B117),2)</f>
        <v>572</v>
      </c>
      <c r="U22" s="10"/>
      <c r="V22" s="10"/>
    </row>
    <row r="23" spans="1:52" ht="20" customHeight="1" x14ac:dyDescent="0.15">
      <c r="A23" s="128"/>
      <c r="B23" s="25" t="s">
        <v>46</v>
      </c>
      <c r="C23" s="22" t="s">
        <v>38</v>
      </c>
      <c r="D23" s="23">
        <v>0.312</v>
      </c>
      <c r="E23" s="21">
        <f>ROUND(488*Belarus*(1-B117),2)</f>
        <v>488</v>
      </c>
      <c r="F23" s="21">
        <f>ROUND(511*Belarus*(1-B117),2)</f>
        <v>511</v>
      </c>
      <c r="G23" s="21">
        <f>ROUND(416*Belarus*(1-B117),2)</f>
        <v>416</v>
      </c>
      <c r="H23" s="31">
        <f>ROUND(576*Belarus*(1-B117),2)</f>
        <v>576</v>
      </c>
      <c r="I23" s="31">
        <f>ROUND(572*Belarus*(1-B117),2)</f>
        <v>572</v>
      </c>
      <c r="J23" s="31">
        <f>ROUND(478*Belarus*(1-B117),2)</f>
        <v>478</v>
      </c>
      <c r="K23" s="31">
        <f>ROUND(470*Belarus*(1-B117),2)</f>
        <v>470</v>
      </c>
      <c r="L23" s="31">
        <f>ROUND(444*Belarus*(1-B117),2)</f>
        <v>444</v>
      </c>
      <c r="M23" s="21">
        <f>ROUND(757*Belarus*(1-B117),2)</f>
        <v>757</v>
      </c>
      <c r="N23" s="21">
        <f>ROUND(455*Belarus*(1-B117),2)</f>
        <v>455</v>
      </c>
      <c r="O23" s="24">
        <f>ROUND(379*Belarus*(1-B117),2)</f>
        <v>379</v>
      </c>
      <c r="P23" s="24">
        <f>ROUND(374*Belarus*(1-B117),2)</f>
        <v>374</v>
      </c>
      <c r="Q23" s="21">
        <f>ROUND(493*Belarus*(1-B117),2)</f>
        <v>493</v>
      </c>
      <c r="R23" s="21">
        <f>ROUND(374*Belarus*(1-B117),2)</f>
        <v>374</v>
      </c>
      <c r="S23" s="21">
        <f>ROUND(272*Belarus*(1-B117),2)</f>
        <v>272</v>
      </c>
      <c r="T23" s="21">
        <f>ROUND(381*Belarus*(1-B117),2)</f>
        <v>381</v>
      </c>
      <c r="U23" s="10"/>
      <c r="V23" s="10"/>
    </row>
    <row r="24" spans="1:52" ht="20" customHeight="1" x14ac:dyDescent="0.15">
      <c r="A24" s="128"/>
      <c r="B24" s="25" t="s">
        <v>47</v>
      </c>
      <c r="C24" s="22" t="s">
        <v>38</v>
      </c>
      <c r="D24" s="23">
        <v>0.41599999999999998</v>
      </c>
      <c r="E24" s="21">
        <f>ROUND(645*Belarus*(1-B117),2)</f>
        <v>645</v>
      </c>
      <c r="F24" s="21">
        <f>ROUND(674*Belarus*(1-B117),2)</f>
        <v>674</v>
      </c>
      <c r="G24" s="21">
        <f>ROUND(548*Belarus*(1-B117),2)</f>
        <v>548</v>
      </c>
      <c r="H24" s="31">
        <f>ROUND(762*Belarus*(1-B117),2)</f>
        <v>762</v>
      </c>
      <c r="I24" s="31">
        <f>ROUND(756*Belarus*(1-B117),2)</f>
        <v>756</v>
      </c>
      <c r="J24" s="31">
        <f>ROUND(631*Belarus*(1-B117),2)</f>
        <v>631</v>
      </c>
      <c r="K24" s="31">
        <f>ROUND(621*Belarus*(1-B117),2)</f>
        <v>621</v>
      </c>
      <c r="L24" s="31">
        <f>ROUND(586*Belarus*(1-B117),2)</f>
        <v>586</v>
      </c>
      <c r="M24" s="21">
        <f>ROUND(1003*Belarus*(1-B117),2)</f>
        <v>1003</v>
      </c>
      <c r="N24" s="21">
        <f>ROUND(601*Belarus*(1-B117),2)</f>
        <v>601</v>
      </c>
      <c r="O24" s="24">
        <f>ROUND(499*Belarus*(1-B117),2)</f>
        <v>499</v>
      </c>
      <c r="P24" s="24">
        <f>ROUND(492*Belarus*(1-B117),2)</f>
        <v>492</v>
      </c>
      <c r="Q24" s="21">
        <f>ROUND(651*Belarus*(1-B117),2)</f>
        <v>651</v>
      </c>
      <c r="R24" s="21">
        <f>ROUND(492*Belarus*(1-B117),2)</f>
        <v>492</v>
      </c>
      <c r="S24" s="21">
        <f>ROUND(356*Belarus*(1-B117),2)</f>
        <v>356</v>
      </c>
      <c r="T24" s="21">
        <f>ROUND(501*Belarus*(1-B117),2)</f>
        <v>501</v>
      </c>
    </row>
    <row r="25" spans="1:52" ht="20" customHeight="1" x14ac:dyDescent="0.15">
      <c r="A25" s="128"/>
      <c r="B25" s="25" t="s">
        <v>48</v>
      </c>
      <c r="C25" s="22" t="s">
        <v>38</v>
      </c>
      <c r="D25" s="23">
        <v>0.41599999999999998</v>
      </c>
      <c r="E25" s="21">
        <f>ROUND(645*Belarus*(1-B117),2)</f>
        <v>645</v>
      </c>
      <c r="F25" s="21">
        <f>ROUND(674*Belarus*(1-B117),2)</f>
        <v>674</v>
      </c>
      <c r="G25" s="21">
        <f>ROUND(548*Belarus*(1-B117),2)</f>
        <v>548</v>
      </c>
      <c r="H25" s="31">
        <f>ROUND(762*Belarus*(1-B117),2)</f>
        <v>762</v>
      </c>
      <c r="I25" s="31">
        <f>ROUND(756*Belarus*(1-B117),2)</f>
        <v>756</v>
      </c>
      <c r="J25" s="31">
        <f>ROUND(631*Belarus*(1-B117),2)</f>
        <v>631</v>
      </c>
      <c r="K25" s="31">
        <f>ROUND(621*Belarus*(1-B117),2)</f>
        <v>621</v>
      </c>
      <c r="L25" s="31">
        <f>ROUND(586*Belarus*(1-B117),2)</f>
        <v>586</v>
      </c>
      <c r="M25" s="21">
        <f>ROUND(1003*Belarus*(1-B117),2)</f>
        <v>1003</v>
      </c>
      <c r="N25" s="21">
        <f>ROUND(601*Belarus*(1-B117),2)</f>
        <v>601</v>
      </c>
      <c r="O25" s="31">
        <f>ROUND(499*Belarus*(1-B117),2)</f>
        <v>499</v>
      </c>
      <c r="P25" s="31">
        <f>ROUND(492*Belarus*(1-B117),2)</f>
        <v>492</v>
      </c>
      <c r="Q25" s="21">
        <f>ROUND(651*Belarus*(1-B117),2)</f>
        <v>651</v>
      </c>
      <c r="R25" s="21">
        <f>ROUND(492*Belarus*(1-B117),2)</f>
        <v>492</v>
      </c>
      <c r="S25" s="21">
        <f>ROUND(356*Belarus*(1-B117),2)</f>
        <v>356</v>
      </c>
      <c r="T25" s="21">
        <f>ROUND(501*Belarus*(1-B117),2)</f>
        <v>501</v>
      </c>
    </row>
    <row r="26" spans="1:52" ht="28" customHeight="1" x14ac:dyDescent="0.15">
      <c r="A26" s="127" t="s">
        <v>49</v>
      </c>
      <c r="B26" s="32" t="s">
        <v>50</v>
      </c>
      <c r="C26" s="33" t="s">
        <v>38</v>
      </c>
      <c r="D26" s="34">
        <v>0.312</v>
      </c>
      <c r="E26" s="29">
        <f>ROUND(488*Belarus*(1-B117),2)</f>
        <v>488</v>
      </c>
      <c r="F26" s="29">
        <f>ROUND(511*Belarus*(1-B117),2)</f>
        <v>511</v>
      </c>
      <c r="G26" s="29">
        <f>ROUND(416*Belarus*(1-B117),2)</f>
        <v>416</v>
      </c>
      <c r="H26" s="35">
        <f>ROUND(576*Belarus*(1-B117),2)</f>
        <v>576</v>
      </c>
      <c r="I26" s="35">
        <f>ROUND(572*Belarus*(1-B117),2)</f>
        <v>572</v>
      </c>
      <c r="J26" s="35">
        <f>ROUND(478*Belarus*(1-B117),2)</f>
        <v>478</v>
      </c>
      <c r="K26" s="35">
        <f>ROUND(470*Belarus*(1-B117),2)</f>
        <v>470</v>
      </c>
      <c r="L26" s="35">
        <f>ROUND(444*Belarus*(1-B117),2)</f>
        <v>444</v>
      </c>
      <c r="M26" s="29">
        <f>ROUND(757*Belarus*(1-B117),2)</f>
        <v>757</v>
      </c>
      <c r="N26" s="29">
        <f>ROUND(455*Belarus*(1-B117),2)</f>
        <v>455</v>
      </c>
      <c r="O26" s="35">
        <f>ROUND(379*Belarus*(1-B117),2)</f>
        <v>379</v>
      </c>
      <c r="P26" s="35">
        <f>ROUND(374*Belarus*(1-B117),2)</f>
        <v>374</v>
      </c>
      <c r="Q26" s="29">
        <f>ROUND(493*Belarus*(1-B117),2)</f>
        <v>493</v>
      </c>
      <c r="R26" s="29">
        <f>ROUND(374*Belarus*(1-B117),2)</f>
        <v>374</v>
      </c>
      <c r="S26" s="29">
        <f>ROUND(272*Belarus*(1-B117),2)</f>
        <v>272</v>
      </c>
      <c r="T26" s="29">
        <f>ROUND(381*Belarus*(1-B117),2)</f>
        <v>381</v>
      </c>
    </row>
    <row r="27" spans="1:52" ht="20" customHeight="1" x14ac:dyDescent="0.15">
      <c r="A27" s="127"/>
      <c r="B27" s="26" t="s">
        <v>51</v>
      </c>
      <c r="C27" s="36" t="s">
        <v>38</v>
      </c>
      <c r="D27" s="34">
        <v>0.41599999999999998</v>
      </c>
      <c r="E27" s="29">
        <f>ROUND(645*Belarus*(1-B117),2)</f>
        <v>645</v>
      </c>
      <c r="F27" s="29">
        <f>ROUND(674*Belarus*(1-B117),2)</f>
        <v>674</v>
      </c>
      <c r="G27" s="29" t="s">
        <v>2</v>
      </c>
      <c r="H27" s="35" t="s">
        <v>2</v>
      </c>
      <c r="I27" s="35" t="s">
        <v>2</v>
      </c>
      <c r="J27" s="35">
        <f>ROUND(631*Belarus*(1-B117),2)</f>
        <v>631</v>
      </c>
      <c r="K27" s="35">
        <f>ROUND(621*Belarus*(1-B117),2)</f>
        <v>621</v>
      </c>
      <c r="L27" s="35">
        <f>ROUND(586*Belarus*(1-B117),2)</f>
        <v>586</v>
      </c>
      <c r="M27" s="29" t="s">
        <v>2</v>
      </c>
      <c r="N27" s="29" t="s">
        <v>2</v>
      </c>
      <c r="O27" s="35">
        <f>ROUND(499*Belarus*(1-B117),2)</f>
        <v>499</v>
      </c>
      <c r="P27" s="35">
        <f>ROUND(492*Belarus*(1-B117),2)</f>
        <v>492</v>
      </c>
      <c r="Q27" s="29">
        <f>ROUND(651*Belarus*(1-B117),2)</f>
        <v>651</v>
      </c>
      <c r="R27" s="29">
        <f>ROUND(492*Belarus*(1-B117),2)</f>
        <v>492</v>
      </c>
      <c r="S27" s="29" t="s">
        <v>2</v>
      </c>
      <c r="T27" s="29" t="s">
        <v>2</v>
      </c>
    </row>
    <row r="28" spans="1:52" ht="20" customHeight="1" x14ac:dyDescent="0.15">
      <c r="A28" s="128" t="s">
        <v>52</v>
      </c>
      <c r="B28" s="129"/>
      <c r="C28" s="37" t="s">
        <v>38</v>
      </c>
      <c r="D28" s="38">
        <v>0.38</v>
      </c>
      <c r="E28" s="21">
        <f>ROUND(645*Belarus*(1-B117),2)</f>
        <v>645</v>
      </c>
      <c r="F28" s="21">
        <f>ROUND(674*Belarus*(1-B117),2)</f>
        <v>674</v>
      </c>
      <c r="G28" s="21">
        <f>ROUND(548*Belarus*(1-B117),2)</f>
        <v>548</v>
      </c>
      <c r="H28" s="31">
        <f>ROUND(762*Belarus*(1-B117),2)</f>
        <v>762</v>
      </c>
      <c r="I28" s="31">
        <f>ROUND(756*Belarus*(1-B117),2)</f>
        <v>756</v>
      </c>
      <c r="J28" s="31">
        <f>ROUND(631*Belarus*(1-B117),2)</f>
        <v>631</v>
      </c>
      <c r="K28" s="31">
        <f>ROUND(621*Belarus*(1-B117),2)</f>
        <v>621</v>
      </c>
      <c r="L28" s="31">
        <f>ROUND(586*Belarus*(1-B117),2)</f>
        <v>586</v>
      </c>
      <c r="M28" s="21">
        <f>ROUND(1003*Belarus*(1-B117),2)</f>
        <v>1003</v>
      </c>
      <c r="N28" s="21">
        <f>ROUND(601*Belarus*(1-B117),2)</f>
        <v>601</v>
      </c>
      <c r="O28" s="31">
        <f>ROUND(499*Belarus*(1-B117),2)</f>
        <v>499</v>
      </c>
      <c r="P28" s="31">
        <f>ROUND(492*Belarus*(1-B117),2)</f>
        <v>492</v>
      </c>
      <c r="Q28" s="21">
        <f>ROUND(651*Belarus*(1-B117),2)</f>
        <v>651</v>
      </c>
      <c r="R28" s="21">
        <f>ROUND(492*Belarus*(1-B117),2)</f>
        <v>492</v>
      </c>
      <c r="S28" s="21">
        <f>ROUND(356*Belarus*(1-B117),2)</f>
        <v>356</v>
      </c>
      <c r="T28" s="21">
        <f>ROUND(501*Belarus*(1-B117),2)</f>
        <v>501</v>
      </c>
    </row>
    <row r="29" spans="1:52" ht="20" customHeight="1" x14ac:dyDescent="0.15">
      <c r="A29" s="128" t="s">
        <v>53</v>
      </c>
      <c r="B29" s="25" t="s">
        <v>54</v>
      </c>
      <c r="C29" s="22" t="s">
        <v>1</v>
      </c>
      <c r="D29" s="23" t="s">
        <v>2</v>
      </c>
      <c r="E29" s="21">
        <f>ROUND(386*Belarus*(1-B117),2)</f>
        <v>386</v>
      </c>
      <c r="F29" s="21">
        <f>ROUND(397*Belarus*(1-B117),2)</f>
        <v>397</v>
      </c>
      <c r="G29" s="21">
        <f>ROUND(347*Belarus*(1-B117),2)</f>
        <v>347</v>
      </c>
      <c r="H29" s="31">
        <f>ROUND(433*Belarus*(1-B117),2)</f>
        <v>433</v>
      </c>
      <c r="I29" s="31">
        <f>ROUND(431*Belarus*(1-B117),2)</f>
        <v>431</v>
      </c>
      <c r="J29" s="31">
        <f>ROUND(380*Belarus*(1-B117),2)</f>
        <v>380</v>
      </c>
      <c r="K29" s="31">
        <f>ROUND(376*Belarus*(1-B117),2)</f>
        <v>376</v>
      </c>
      <c r="L29" s="31">
        <f>ROUND(362*Belarus*(1-B117),2)</f>
        <v>362</v>
      </c>
      <c r="M29" s="21">
        <f>ROUND(530*Belarus*(1-B117),2)</f>
        <v>530</v>
      </c>
      <c r="N29" s="21">
        <f>ROUND(368*Belarus*(1-B117),2)</f>
        <v>368</v>
      </c>
      <c r="O29" s="24">
        <f>ROUND(327*Belarus*(1-B117),2)</f>
        <v>327</v>
      </c>
      <c r="P29" s="24">
        <f>ROUND(324*Belarus*(1-B117),2)</f>
        <v>324</v>
      </c>
      <c r="Q29" s="21">
        <f>ROUND(388*Belarus*(1-B117),2)</f>
        <v>388</v>
      </c>
      <c r="R29" s="21">
        <f>ROUND(324*Belarus*(1-B117),2)</f>
        <v>324</v>
      </c>
      <c r="S29" s="21" t="s">
        <v>2</v>
      </c>
      <c r="T29" s="21" t="s">
        <v>2</v>
      </c>
    </row>
    <row r="30" spans="1:52" ht="20" customHeight="1" x14ac:dyDescent="0.15">
      <c r="A30" s="128"/>
      <c r="B30" s="25" t="s">
        <v>55</v>
      </c>
      <c r="C30" s="22" t="s">
        <v>1</v>
      </c>
      <c r="D30" s="23" t="s">
        <v>2</v>
      </c>
      <c r="E30" s="21">
        <f>ROUND(780*Belarus*(1-B117),2)</f>
        <v>780</v>
      </c>
      <c r="F30" s="21">
        <f>ROUND(807*Belarus*(1-B117),2)</f>
        <v>807</v>
      </c>
      <c r="G30" s="21">
        <f>ROUND(693*Belarus*(1-B117),2)</f>
        <v>693</v>
      </c>
      <c r="H30" s="24">
        <f>ROUND(886*Belarus*(1-B117),2)</f>
        <v>886</v>
      </c>
      <c r="I30" s="24">
        <f>ROUND(881*Belarus*(1-B117),2)</f>
        <v>881</v>
      </c>
      <c r="J30" s="24">
        <f>ROUND(768*Belarus*(1-B117),2)</f>
        <v>768</v>
      </c>
      <c r="K30" s="24">
        <f>ROUND(758*Belarus*(1-B117),2)</f>
        <v>758</v>
      </c>
      <c r="L30" s="24">
        <f>ROUND(727*Belarus*(1-B117),2)</f>
        <v>727</v>
      </c>
      <c r="M30" s="21">
        <f>ROUND(1105*Belarus*(1-B117),2)</f>
        <v>1105</v>
      </c>
      <c r="N30" s="21">
        <f>ROUND(740*Belarus*(1-B117),2)</f>
        <v>740</v>
      </c>
      <c r="O30" s="24">
        <f>ROUND(649*Belarus*(1-B117),2)</f>
        <v>649</v>
      </c>
      <c r="P30" s="24">
        <f>ROUND(642*Belarus*(1-B117),2)</f>
        <v>642</v>
      </c>
      <c r="Q30" s="21">
        <f>ROUND(786*Belarus*(1-B117),2)</f>
        <v>786</v>
      </c>
      <c r="R30" s="21">
        <f>ROUND(642*Belarus*(1-B117),2)</f>
        <v>642</v>
      </c>
      <c r="S30" s="21" t="s">
        <v>2</v>
      </c>
      <c r="T30" s="21" t="s">
        <v>2</v>
      </c>
    </row>
    <row r="31" spans="1:52" ht="20" customHeight="1" x14ac:dyDescent="0.15">
      <c r="A31" s="128" t="s">
        <v>56</v>
      </c>
      <c r="B31" s="25" t="s">
        <v>54</v>
      </c>
      <c r="C31" s="22" t="s">
        <v>1</v>
      </c>
      <c r="D31" s="23" t="s">
        <v>2</v>
      </c>
      <c r="E31" s="21">
        <f>ROUND(297*Belarus*(1-B117),2)</f>
        <v>297</v>
      </c>
      <c r="F31" s="21">
        <f>ROUND(304*Belarus*(1-B117),2)</f>
        <v>304</v>
      </c>
      <c r="G31" s="21">
        <f>ROUND(272*Belarus*(1-B117),2)</f>
        <v>272</v>
      </c>
      <c r="H31" s="24">
        <f>ROUND(327*Belarus*(1-B117),2)</f>
        <v>327</v>
      </c>
      <c r="I31" s="24">
        <f>ROUND(326*Belarus*(1-B117),2)</f>
        <v>326</v>
      </c>
      <c r="J31" s="24">
        <f>ROUND(293*Belarus*(1-B117),2)</f>
        <v>293</v>
      </c>
      <c r="K31" s="24">
        <f>ROUND(291*Belarus*(1-B117),2)</f>
        <v>291</v>
      </c>
      <c r="L31" s="24">
        <f>ROUND(282*Belarus*(1-B117),2)</f>
        <v>282</v>
      </c>
      <c r="M31" s="21">
        <f>ROUND(390*Belarus*(1-B117),2)</f>
        <v>390</v>
      </c>
      <c r="N31" s="21">
        <f>ROUND(285*Belarus*(1-B117),2)</f>
        <v>285</v>
      </c>
      <c r="O31" s="24">
        <f>ROUND(259*Belarus*(1-B117),2)</f>
        <v>259</v>
      </c>
      <c r="P31" s="24">
        <f>ROUND(257*Belarus*(1-B117),2)</f>
        <v>257</v>
      </c>
      <c r="Q31" s="21">
        <f>ROUND(298*Belarus*(1-B117),2)</f>
        <v>298</v>
      </c>
      <c r="R31" s="21">
        <f>ROUND(257*Belarus*(1-B117),2)</f>
        <v>257</v>
      </c>
      <c r="S31" s="21" t="s">
        <v>2</v>
      </c>
      <c r="T31" s="21" t="s">
        <v>2</v>
      </c>
    </row>
    <row r="32" spans="1:52" ht="20" customHeight="1" x14ac:dyDescent="0.15">
      <c r="A32" s="128"/>
      <c r="B32" s="25" t="s">
        <v>55</v>
      </c>
      <c r="C32" s="22" t="s">
        <v>1</v>
      </c>
      <c r="D32" s="23" t="s">
        <v>2</v>
      </c>
      <c r="E32" s="21">
        <f>ROUND(655*Belarus*(1-B117),2)</f>
        <v>655</v>
      </c>
      <c r="F32" s="21">
        <f>ROUND(676*Belarus*(1-B117),2)</f>
        <v>676</v>
      </c>
      <c r="G32" s="21">
        <f>ROUND(588*Belarus*(1-B117),2)</f>
        <v>588</v>
      </c>
      <c r="H32" s="24">
        <f>ROUND(737*Belarus*(1-B117),2)</f>
        <v>737</v>
      </c>
      <c r="I32" s="24">
        <f>ROUND(734*Belarus*(1-B117),2)</f>
        <v>734</v>
      </c>
      <c r="J32" s="24">
        <f>ROUND(646*Belarus*(1-B117),2)</f>
        <v>646</v>
      </c>
      <c r="K32" s="24">
        <f>ROUND(638*Belarus*(1-B117),2)</f>
        <v>638</v>
      </c>
      <c r="L32" s="24">
        <f>ROUND(614*Belarus*(1-B117),2)</f>
        <v>614</v>
      </c>
      <c r="M32" s="21">
        <f>ROUND(907*Belarus*(1-B117),2)</f>
        <v>907</v>
      </c>
      <c r="N32" s="21">
        <f>ROUND(624*Belarus*(1-B117),2)</f>
        <v>624</v>
      </c>
      <c r="O32" s="24">
        <f>ROUND(553*Belarus*(1-B117),2)</f>
        <v>553</v>
      </c>
      <c r="P32" s="24">
        <f>ROUND(548*Belarus*(1-B117),2)</f>
        <v>548</v>
      </c>
      <c r="Q32" s="21">
        <f>ROUND(660*Belarus*(1-B117),2)</f>
        <v>660</v>
      </c>
      <c r="R32" s="21">
        <f>ROUND(548*Belarus*(1-B117),2)</f>
        <v>548</v>
      </c>
      <c r="S32" s="21" t="s">
        <v>2</v>
      </c>
      <c r="T32" s="21" t="s">
        <v>2</v>
      </c>
    </row>
    <row r="33" spans="1:52" ht="20" customHeight="1" x14ac:dyDescent="0.15">
      <c r="A33" s="128" t="s">
        <v>57</v>
      </c>
      <c r="B33" s="129"/>
      <c r="C33" s="22" t="s">
        <v>1</v>
      </c>
      <c r="D33" s="23" t="s">
        <v>2</v>
      </c>
      <c r="E33" s="21">
        <f>ROUND(2788*Belarus*(1-B117),2)</f>
        <v>2788</v>
      </c>
      <c r="F33" s="21">
        <f>ROUND(2878*Belarus*(1-B117),2)</f>
        <v>2878</v>
      </c>
      <c r="G33" s="21">
        <f>ROUND(2493*Belarus*(1-B117),2)</f>
        <v>2493</v>
      </c>
      <c r="H33" s="24">
        <f>ROUND(3146*Belarus*(1-B117),2)</f>
        <v>3146</v>
      </c>
      <c r="I33" s="24">
        <f>ROUND(3130*Belarus*(1-B117),2)</f>
        <v>3130</v>
      </c>
      <c r="J33" s="24">
        <f>ROUND(2747*Belarus*(1-B117),2)</f>
        <v>2747</v>
      </c>
      <c r="K33" s="24">
        <f>ROUND(2714*Belarus*(1-B117),2)</f>
        <v>2714</v>
      </c>
      <c r="L33" s="24">
        <f>ROUND(2608*Belarus*(1-B117),2)</f>
        <v>2608</v>
      </c>
      <c r="M33" s="21">
        <f>ROUND(3885*Belarus*(1-B117),2)</f>
        <v>3885</v>
      </c>
      <c r="N33" s="21">
        <f>ROUND(2652*Belarus*(1-B117),2)</f>
        <v>2652</v>
      </c>
      <c r="O33" s="24">
        <f>ROUND(2343*Belarus*(1-B117),2)</f>
        <v>2343</v>
      </c>
      <c r="P33" s="24">
        <f>ROUND(2321*Belarus*(1-B117),2)</f>
        <v>2321</v>
      </c>
      <c r="Q33" s="21">
        <f>ROUND(2807*Belarus*(1-B117),2)</f>
        <v>2807</v>
      </c>
      <c r="R33" s="21">
        <f>ROUND(2321*Belarus*(1-B117),2)</f>
        <v>2321</v>
      </c>
      <c r="S33" s="21" t="s">
        <v>2</v>
      </c>
      <c r="T33" s="21" t="s">
        <v>2</v>
      </c>
    </row>
    <row r="34" spans="1:52" ht="20" customHeight="1" x14ac:dyDescent="0.15">
      <c r="A34" s="128" t="s">
        <v>58</v>
      </c>
      <c r="B34" s="129"/>
      <c r="C34" s="22" t="s">
        <v>1</v>
      </c>
      <c r="D34" s="23" t="s">
        <v>2</v>
      </c>
      <c r="E34" s="21">
        <f>ROUND(1679*Belarus*(1-B117),2)</f>
        <v>1679</v>
      </c>
      <c r="F34" s="21">
        <f>ROUND(1716*Belarus*(1-B117),2)</f>
        <v>1716</v>
      </c>
      <c r="G34" s="21">
        <f>ROUND(1558*Belarus*(1-B117),2)</f>
        <v>1558</v>
      </c>
      <c r="H34" s="24">
        <f>ROUND(1826*Belarus*(1-B117),2)</f>
        <v>1826</v>
      </c>
      <c r="I34" s="24">
        <f>ROUND(1820*Belarus*(1-B117),2)</f>
        <v>1820</v>
      </c>
      <c r="J34" s="24">
        <f>ROUND(1662*Belarus*(1-B117),2)</f>
        <v>1662</v>
      </c>
      <c r="K34" s="24">
        <f>ROUND(1649*Belarus*(1-B117),2)</f>
        <v>1649</v>
      </c>
      <c r="L34" s="24">
        <f>ROUND(1605*Belarus*(1-B117),2)</f>
        <v>1605</v>
      </c>
      <c r="M34" s="21">
        <f>ROUND(2131*Belarus*(1-B117),2)</f>
        <v>2131</v>
      </c>
      <c r="N34" s="21">
        <f>ROUND(1623*Belarus*(1-B117),2)</f>
        <v>1623</v>
      </c>
      <c r="O34" s="24">
        <f>ROUND(1496*Belarus*(1-B117),2)</f>
        <v>1496</v>
      </c>
      <c r="P34" s="24">
        <f>ROUND(1487*Belarus*(1-B117),2)</f>
        <v>1487</v>
      </c>
      <c r="Q34" s="21">
        <f>ROUND(1687*Belarus*(1-B117),2)</f>
        <v>1687</v>
      </c>
      <c r="R34" s="21">
        <f>ROUND(1487*Belarus*(1-B117),2)</f>
        <v>1487</v>
      </c>
      <c r="S34" s="21" t="s">
        <v>2</v>
      </c>
      <c r="T34" s="21" t="s">
        <v>2</v>
      </c>
    </row>
    <row r="35" spans="1:52" ht="20" customHeight="1" x14ac:dyDescent="0.15">
      <c r="A35" s="128" t="s">
        <v>59</v>
      </c>
      <c r="B35" s="39" t="s">
        <v>60</v>
      </c>
      <c r="C35" s="22" t="s">
        <v>38</v>
      </c>
      <c r="D35" s="23">
        <v>0.25</v>
      </c>
      <c r="E35" s="21">
        <f>ROUND(395*Belarus*(1-B117),2)</f>
        <v>395</v>
      </c>
      <c r="F35" s="21">
        <f>ROUND(412*Belarus*(1-B117),2)</f>
        <v>412</v>
      </c>
      <c r="G35" s="21">
        <f>ROUND(337*Belarus*(1-B117),2)</f>
        <v>337</v>
      </c>
      <c r="H35" s="24">
        <f>ROUND(465*Belarus*(1-B117),2)</f>
        <v>465</v>
      </c>
      <c r="I35" s="24">
        <f>ROUND(462*Belarus*(1-B117),2)</f>
        <v>462</v>
      </c>
      <c r="J35" s="24">
        <f>ROUND(387*Belarus*(1-B117),2)</f>
        <v>387</v>
      </c>
      <c r="K35" s="24">
        <f>ROUND(380*Belarus*(1-B117),2)</f>
        <v>380</v>
      </c>
      <c r="L35" s="24">
        <f>ROUND(359*Belarus*(1-B117),2)</f>
        <v>359</v>
      </c>
      <c r="M35" s="21">
        <f>ROUND(610*Belarus*(1-B117),2)</f>
        <v>610</v>
      </c>
      <c r="N35" s="21">
        <f>ROUND(368*Belarus*(1-B117),2)</f>
        <v>368</v>
      </c>
      <c r="O35" s="24">
        <f>ROUND(307*Belarus*(1-B117),2)</f>
        <v>307</v>
      </c>
      <c r="P35" s="24">
        <f>ROUND(303*Belarus*(1-B117),2)</f>
        <v>303</v>
      </c>
      <c r="Q35" s="21">
        <f>ROUND(398*Belarus*(1-B117),2)</f>
        <v>398</v>
      </c>
      <c r="R35" s="21">
        <f>ROUND(303*Belarus*(1-B117),2)</f>
        <v>303</v>
      </c>
      <c r="S35" s="21">
        <f>ROUND(221*Belarus*(1-B117),2)</f>
        <v>221</v>
      </c>
      <c r="T35" s="21">
        <f>ROUND(309*Belarus*(1-B117),2)</f>
        <v>309</v>
      </c>
    </row>
    <row r="36" spans="1:52" ht="20" customHeight="1" x14ac:dyDescent="0.15">
      <c r="A36" s="128"/>
      <c r="B36" s="25" t="s">
        <v>61</v>
      </c>
      <c r="C36" s="22" t="s">
        <v>38</v>
      </c>
      <c r="D36" s="23">
        <v>0.41599999999999998</v>
      </c>
      <c r="E36" s="21">
        <f>ROUND(645*Belarus*(1-B117),2)</f>
        <v>645</v>
      </c>
      <c r="F36" s="21">
        <f>ROUND(674*Belarus*(1-B117),2)</f>
        <v>674</v>
      </c>
      <c r="G36" s="21">
        <f>ROUND(548*Belarus*(1-B117),2)</f>
        <v>548</v>
      </c>
      <c r="H36" s="24">
        <f>ROUND(762*Belarus*(1-B117),2)</f>
        <v>762</v>
      </c>
      <c r="I36" s="24">
        <f>ROUND(756*Belarus*(1-B117),2)</f>
        <v>756</v>
      </c>
      <c r="J36" s="24">
        <f>ROUND(631*Belarus*(1-B117),2)</f>
        <v>631</v>
      </c>
      <c r="K36" s="24">
        <f>ROUND(621*Belarus*(1-B117),2)</f>
        <v>621</v>
      </c>
      <c r="L36" s="24">
        <f>ROUND(586*Belarus*(1-B117),2)</f>
        <v>586</v>
      </c>
      <c r="M36" s="21">
        <f>ROUND(1003*Belarus*(1-B117),2)</f>
        <v>1003</v>
      </c>
      <c r="N36" s="21">
        <f>ROUND(601*Belarus*(1-B117),2)</f>
        <v>601</v>
      </c>
      <c r="O36" s="24">
        <f>ROUND(499*Belarus*(1-B117),2)</f>
        <v>499</v>
      </c>
      <c r="P36" s="24">
        <f>ROUND(492*Belarus*(1-B117),2)</f>
        <v>492</v>
      </c>
      <c r="Q36" s="21">
        <f>ROUND(651*Belarus*(1-B117),2)</f>
        <v>651</v>
      </c>
      <c r="R36" s="21">
        <f>ROUND(492*Belarus*(1-B117),2)</f>
        <v>492</v>
      </c>
      <c r="S36" s="21">
        <f>ROUND(356*Belarus*(1-B117),2)</f>
        <v>356</v>
      </c>
      <c r="T36" s="21">
        <f>ROUND(501*Belarus*(1-B117),2)</f>
        <v>501</v>
      </c>
    </row>
    <row r="37" spans="1:52" s="6" customFormat="1" ht="20" customHeight="1" x14ac:dyDescent="0.15">
      <c r="A37" s="128"/>
      <c r="B37" s="25" t="s">
        <v>62</v>
      </c>
      <c r="C37" s="22" t="s">
        <v>38</v>
      </c>
      <c r="D37" s="23">
        <v>0.41599999999999998</v>
      </c>
      <c r="E37" s="21">
        <f>ROUND(645*Belarus*(1-B117),2)</f>
        <v>645</v>
      </c>
      <c r="F37" s="21">
        <f>ROUND(674*Belarus*(1-B117),2)</f>
        <v>674</v>
      </c>
      <c r="G37" s="21">
        <f>ROUND(548*Belarus*(1-B117),2)</f>
        <v>548</v>
      </c>
      <c r="H37" s="24">
        <f>ROUND(762*Belarus*(1-B117),2)</f>
        <v>762</v>
      </c>
      <c r="I37" s="24">
        <f>ROUND(756*Belarus*(1-B117),2)</f>
        <v>756</v>
      </c>
      <c r="J37" s="24">
        <f>ROUND(631*Belarus*(1-B117),2)</f>
        <v>631</v>
      </c>
      <c r="K37" s="24">
        <f>ROUND(621*Belarus*(1-B117),2)</f>
        <v>621</v>
      </c>
      <c r="L37" s="24">
        <f>ROUND(586*Belarus*(1-B117),2)</f>
        <v>586</v>
      </c>
      <c r="M37" s="21">
        <f>ROUND(1003*Belarus*(1-B117),2)</f>
        <v>1003</v>
      </c>
      <c r="N37" s="21">
        <f>ROUND(601*Belarus*(1-B117),2)</f>
        <v>601</v>
      </c>
      <c r="O37" s="24">
        <f>ROUND(499*Belarus*(1-B117),2)</f>
        <v>499</v>
      </c>
      <c r="P37" s="24">
        <f>ROUND(492*Belarus*(1-B117),2)</f>
        <v>492</v>
      </c>
      <c r="Q37" s="21">
        <f>ROUND(651*Belarus*(1-B117),2)</f>
        <v>651</v>
      </c>
      <c r="R37" s="21">
        <f>ROUND(492*Belarus*(1-B117),2)</f>
        <v>492</v>
      </c>
      <c r="S37" s="21">
        <f>ROUND(356*Belarus*(1-B117),2)</f>
        <v>356</v>
      </c>
      <c r="T37" s="21">
        <f>ROUND(501*Belarus*(1-B117),2)</f>
        <v>501</v>
      </c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20" customHeight="1" x14ac:dyDescent="0.15">
      <c r="A38" s="128"/>
      <c r="B38" s="25" t="s">
        <v>63</v>
      </c>
      <c r="C38" s="22" t="s">
        <v>38</v>
      </c>
      <c r="D38" s="23">
        <v>0.12</v>
      </c>
      <c r="E38" s="21">
        <f>ROUND(207*Belarus*(1-B117),2)</f>
        <v>207</v>
      </c>
      <c r="F38" s="21">
        <f>ROUND(216*Belarus*(1-B117),2)</f>
        <v>216</v>
      </c>
      <c r="G38" s="21">
        <f>ROUND(178*Belarus*(1-B117),2)</f>
        <v>178</v>
      </c>
      <c r="H38" s="24">
        <f>ROUND(242*Belarus*(1-B117),2)</f>
        <v>242</v>
      </c>
      <c r="I38" s="24">
        <f>ROUND(240*Belarus*(1-B117),2)</f>
        <v>240</v>
      </c>
      <c r="J38" s="24">
        <f>ROUND(203*Belarus*(1-B117),2)</f>
        <v>203</v>
      </c>
      <c r="K38" s="24">
        <f>ROUND(200*Belarus*(1-B117),2)</f>
        <v>200</v>
      </c>
      <c r="L38" s="24">
        <f>ROUND(189*Belarus*(1-B117),2)</f>
        <v>189</v>
      </c>
      <c r="M38" s="21">
        <f>ROUND(314*Belarus*(1-B117),2)</f>
        <v>314</v>
      </c>
      <c r="N38" s="21">
        <f>ROUND(194*Belarus*(1-B117),2)</f>
        <v>194</v>
      </c>
      <c r="O38" s="24">
        <f>ROUND(163*Belarus*(1-B117),2)</f>
        <v>163</v>
      </c>
      <c r="P38" s="24">
        <f>ROUND(161*Belarus*(1-B117),2)</f>
        <v>161</v>
      </c>
      <c r="Q38" s="21">
        <f>ROUND(209*Belarus*(1-B117),2)</f>
        <v>209</v>
      </c>
      <c r="R38" s="21">
        <f>ROUND(161*Belarus*(1-B117),2)</f>
        <v>161</v>
      </c>
      <c r="S38" s="21">
        <f>ROUND(120*Belarus*(1-B117),2)</f>
        <v>120</v>
      </c>
      <c r="T38" s="21">
        <f>ROUND(164*Belarus*(1-B117),2)</f>
        <v>164</v>
      </c>
    </row>
    <row r="39" spans="1:52" s="6" customFormat="1" ht="20" customHeight="1" x14ac:dyDescent="0.15">
      <c r="A39" s="128"/>
      <c r="B39" s="25" t="s">
        <v>64</v>
      </c>
      <c r="C39" s="22" t="s">
        <v>38</v>
      </c>
      <c r="D39" s="23">
        <v>0.106</v>
      </c>
      <c r="E39" s="21">
        <f>ROUND(190*Belarus*(1-B117),2)</f>
        <v>190</v>
      </c>
      <c r="F39" s="21">
        <f>ROUND(198*Belarus*(1-B117),2)</f>
        <v>198</v>
      </c>
      <c r="G39" s="21">
        <f>ROUND(164*Belarus*(1-B117),2)</f>
        <v>164</v>
      </c>
      <c r="H39" s="24">
        <f>ROUND(222*Belarus*(1-B117),2)</f>
        <v>222</v>
      </c>
      <c r="I39" s="24">
        <f>ROUND(220*Belarus*(1-B117),2)</f>
        <v>220</v>
      </c>
      <c r="J39" s="24">
        <f>ROUND(186*Belarus*(1-B117),2)</f>
        <v>186</v>
      </c>
      <c r="K39" s="24">
        <f>ROUND(183*Belarus*(1-B117),2)</f>
        <v>183</v>
      </c>
      <c r="L39" s="24">
        <f>ROUND(174*Belarus*(1-B117),2)</f>
        <v>174</v>
      </c>
      <c r="M39" s="21">
        <f>ROUND(288*Belarus*(1-B117),2)</f>
        <v>288</v>
      </c>
      <c r="N39" s="21">
        <f>ROUND(178*Belarus*(1-B117),2)</f>
        <v>178</v>
      </c>
      <c r="O39" s="24">
        <f>ROUND(150*Belarus*(1-B117),2)</f>
        <v>150</v>
      </c>
      <c r="P39" s="24">
        <f>ROUND(148*Belarus*(1-B117),2)</f>
        <v>148</v>
      </c>
      <c r="Q39" s="21">
        <f>ROUND(192*Belarus*(1-B117),2)</f>
        <v>192</v>
      </c>
      <c r="R39" s="21">
        <f>ROUND(148*Belarus*(1-B117),2)</f>
        <v>148</v>
      </c>
      <c r="S39" s="21">
        <f>ROUND(111*Belarus*(1-B117),2)</f>
        <v>111</v>
      </c>
      <c r="T39" s="21">
        <f>ROUND(151*Belarus*(1-B117),2)</f>
        <v>151</v>
      </c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20" customHeight="1" x14ac:dyDescent="0.15">
      <c r="A40" s="128" t="s">
        <v>149</v>
      </c>
      <c r="B40" s="25" t="s">
        <v>40</v>
      </c>
      <c r="C40" s="22" t="s">
        <v>38</v>
      </c>
      <c r="D40" s="23">
        <v>0.26</v>
      </c>
      <c r="E40" s="21">
        <f>ROUND(488*Belarus*(1-B117),2)</f>
        <v>488</v>
      </c>
      <c r="F40" s="21">
        <f>ROUND(511*Belarus*(1-B117),2)</f>
        <v>511</v>
      </c>
      <c r="G40" s="21">
        <f>ROUND(416*Belarus*(1-B117),2)</f>
        <v>416</v>
      </c>
      <c r="H40" s="24">
        <f>ROUND(576*Belarus*(1-B117),2)</f>
        <v>576</v>
      </c>
      <c r="I40" s="24">
        <f>ROUND(572*Belarus*(1-B117),2)</f>
        <v>572</v>
      </c>
      <c r="J40" s="24">
        <f>ROUND(478*Belarus*(1-B117),2)</f>
        <v>478</v>
      </c>
      <c r="K40" s="24">
        <f>ROUND(470*Belarus*(1-B117),2)</f>
        <v>470</v>
      </c>
      <c r="L40" s="24">
        <f>ROUND(444*Belarus*(1-B117),2)</f>
        <v>444</v>
      </c>
      <c r="M40" s="21">
        <f>ROUND(757*Belarus*(1-B117),2)</f>
        <v>757</v>
      </c>
      <c r="N40" s="21">
        <f>ROUND(455*Belarus*(1-B117),2)</f>
        <v>455</v>
      </c>
      <c r="O40" s="24">
        <f>ROUND(379*Belarus*(1-B117),2)</f>
        <v>379</v>
      </c>
      <c r="P40" s="24">
        <f>ROUND(374*Belarus*(1-B117),2)</f>
        <v>374</v>
      </c>
      <c r="Q40" s="21">
        <f>ROUND(493*Belarus*(1-B117),2)</f>
        <v>493</v>
      </c>
      <c r="R40" s="21">
        <f>ROUND(374*Belarus*(1-B117),2)</f>
        <v>374</v>
      </c>
      <c r="S40" s="21">
        <f>ROUND(272*Belarus*(1-B117),2)</f>
        <v>272</v>
      </c>
      <c r="T40" s="21">
        <f>ROUND(381*Belarus*(1-B117),2)</f>
        <v>381</v>
      </c>
    </row>
    <row r="41" spans="1:52" ht="20" customHeight="1" x14ac:dyDescent="0.15">
      <c r="A41" s="128"/>
      <c r="B41" s="25" t="s">
        <v>41</v>
      </c>
      <c r="C41" s="22" t="s">
        <v>38</v>
      </c>
      <c r="D41" s="23">
        <v>0.312</v>
      </c>
      <c r="E41" s="21">
        <f>ROUND(488*Belarus*(1-B117),2)</f>
        <v>488</v>
      </c>
      <c r="F41" s="21">
        <f>ROUND(511*Belarus*(1-B117),2)</f>
        <v>511</v>
      </c>
      <c r="G41" s="21">
        <f>ROUND(416*Belarus*(1-B117),2)</f>
        <v>416</v>
      </c>
      <c r="H41" s="24">
        <f>ROUND(576*Belarus*(1-B117),2)</f>
        <v>576</v>
      </c>
      <c r="I41" s="24">
        <f>ROUND(572*Belarus*(1-B117),2)</f>
        <v>572</v>
      </c>
      <c r="J41" s="24">
        <f>ROUND(478*Belarus*(1-B117),2)</f>
        <v>478</v>
      </c>
      <c r="K41" s="24">
        <f>ROUND(470*Belarus*(1-B117),2)</f>
        <v>470</v>
      </c>
      <c r="L41" s="24">
        <f>ROUND(444*Belarus*(1-B117),2)</f>
        <v>444</v>
      </c>
      <c r="M41" s="21">
        <f>ROUND(757*Belarus*(1-B117),2)</f>
        <v>757</v>
      </c>
      <c r="N41" s="21">
        <f>ROUND(455*Belarus*(1-B117),2)</f>
        <v>455</v>
      </c>
      <c r="O41" s="24">
        <f>ROUND(379*Belarus*(1-B117),2)</f>
        <v>379</v>
      </c>
      <c r="P41" s="24">
        <f>ROUND(374*Belarus*(1-B117),2)</f>
        <v>374</v>
      </c>
      <c r="Q41" s="21">
        <f>ROUND(493*Belarus*(1-B117),2)</f>
        <v>493</v>
      </c>
      <c r="R41" s="21">
        <f>ROUND(374*Belarus*(1-B117),2)</f>
        <v>374</v>
      </c>
      <c r="S41" s="21">
        <f>ROUND(272*Belarus*(1-B117),2)</f>
        <v>272</v>
      </c>
      <c r="T41" s="21">
        <f>ROUND(381*Belarus*(1-B117),2)</f>
        <v>381</v>
      </c>
    </row>
    <row r="42" spans="1:52" s="6" customFormat="1" ht="20" customHeight="1" x14ac:dyDescent="0.15">
      <c r="A42" s="128"/>
      <c r="B42" s="25" t="s">
        <v>42</v>
      </c>
      <c r="C42" s="22" t="s">
        <v>38</v>
      </c>
      <c r="D42" s="23">
        <v>0.41599999999999998</v>
      </c>
      <c r="E42" s="21">
        <f>ROUND(645*Belarus*(1-B117),2)</f>
        <v>645</v>
      </c>
      <c r="F42" s="21">
        <f>ROUND(674*Belarus*(1-B117),2)</f>
        <v>674</v>
      </c>
      <c r="G42" s="21">
        <f>ROUND(548*Belarus*(1-B117),2)</f>
        <v>548</v>
      </c>
      <c r="H42" s="24">
        <f>ROUND(762*Belarus*(1-B117),2)</f>
        <v>762</v>
      </c>
      <c r="I42" s="24">
        <f>ROUND(756*Belarus*(1-B117),2)</f>
        <v>756</v>
      </c>
      <c r="J42" s="24">
        <f>ROUND(631*Belarus*(1-B117),2)</f>
        <v>631</v>
      </c>
      <c r="K42" s="24">
        <f>ROUND(621*Belarus*(1-B117),2)</f>
        <v>621</v>
      </c>
      <c r="L42" s="24">
        <f>ROUND(586*Belarus*(1-B117),2)</f>
        <v>586</v>
      </c>
      <c r="M42" s="21">
        <f>ROUND(1003*Belarus*(1-B117),2)</f>
        <v>1003</v>
      </c>
      <c r="N42" s="21">
        <f>ROUND(601*Belarus*(1-B117),2)</f>
        <v>601</v>
      </c>
      <c r="O42" s="24">
        <f>ROUND(499*Belarus*(1-B117),2)</f>
        <v>499</v>
      </c>
      <c r="P42" s="24">
        <f>ROUND(492*Belarus*(1-B117),2)</f>
        <v>492</v>
      </c>
      <c r="Q42" s="21">
        <f>ROUND(651*Belarus*(1-B117),2)</f>
        <v>651</v>
      </c>
      <c r="R42" s="21">
        <f>ROUND(492*Belarus*(1-B117),2)</f>
        <v>492</v>
      </c>
      <c r="S42" s="21">
        <f>ROUND(356*Belarus*(1-B117),2)</f>
        <v>356</v>
      </c>
      <c r="T42" s="21">
        <f>ROUND(501*Belarus*(1-B117),2)</f>
        <v>501</v>
      </c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20" customHeight="1" x14ac:dyDescent="0.15">
      <c r="A43" s="128" t="s">
        <v>65</v>
      </c>
      <c r="B43" s="25" t="s">
        <v>44</v>
      </c>
      <c r="C43" s="22" t="s">
        <v>38</v>
      </c>
      <c r="D43" s="23">
        <v>0.312</v>
      </c>
      <c r="E43" s="21">
        <f>ROUND(488*Belarus*(1-B117),2)</f>
        <v>488</v>
      </c>
      <c r="F43" s="21">
        <f>ROUND(511*Belarus*(1-B117),2)</f>
        <v>511</v>
      </c>
      <c r="G43" s="21">
        <f>ROUND(416*Belarus*(1-B117),2)</f>
        <v>416</v>
      </c>
      <c r="H43" s="24">
        <f>ROUND(576*Belarus*(1-B117),2)</f>
        <v>576</v>
      </c>
      <c r="I43" s="24">
        <f>ROUND(572*Belarus*(1-B117),2)</f>
        <v>572</v>
      </c>
      <c r="J43" s="24">
        <f>ROUND(478*Belarus*(1-B117),2)</f>
        <v>478</v>
      </c>
      <c r="K43" s="24">
        <f>ROUND(470*Belarus*(1-B117),2)</f>
        <v>470</v>
      </c>
      <c r="L43" s="24">
        <f>ROUND(444*Belarus*(1-B117),2)</f>
        <v>444</v>
      </c>
      <c r="M43" s="21">
        <f>ROUND(757*Belarus*(1-B117),2)</f>
        <v>757</v>
      </c>
      <c r="N43" s="21">
        <f>ROUND(455*Belarus*(1-B117),2)</f>
        <v>455</v>
      </c>
      <c r="O43" s="24">
        <f>ROUND(379*Belarus*(1-B117),2)</f>
        <v>379</v>
      </c>
      <c r="P43" s="24">
        <f>ROUND(374*Belarus*(1-B117),2)</f>
        <v>374</v>
      </c>
      <c r="Q43" s="21">
        <f>ROUND(493*Belarus*(1-B117),2)</f>
        <v>493</v>
      </c>
      <c r="R43" s="21">
        <f>ROUND(374*Belarus*(1-B117),2)</f>
        <v>374</v>
      </c>
      <c r="S43" s="21">
        <f>ROUND(272*Belarus*(1-B117),2)</f>
        <v>272</v>
      </c>
      <c r="T43" s="21">
        <f>ROUND(381*Belarus*(1-B117),2)</f>
        <v>381</v>
      </c>
    </row>
    <row r="44" spans="1:52" s="6" customFormat="1" ht="20" customHeight="1" x14ac:dyDescent="0.15">
      <c r="A44" s="128"/>
      <c r="B44" s="26" t="s">
        <v>45</v>
      </c>
      <c r="C44" s="27" t="s">
        <v>38</v>
      </c>
      <c r="D44" s="28">
        <v>0.312</v>
      </c>
      <c r="E44" s="29">
        <f>ROUND(732*Belarus*(1-B117),2)</f>
        <v>732</v>
      </c>
      <c r="F44" s="29">
        <f>ROUND(767*Belarus*(1-B117),2)</f>
        <v>767</v>
      </c>
      <c r="G44" s="29">
        <f>ROUND(624*Belarus*(1-B117),2)</f>
        <v>624</v>
      </c>
      <c r="H44" s="30">
        <f>ROUND(864*Belarus*(1-B117),2)</f>
        <v>864</v>
      </c>
      <c r="I44" s="30">
        <f>ROUND(858*Belarus*(1-B117),2)</f>
        <v>858</v>
      </c>
      <c r="J44" s="30">
        <f>ROUND(717*Belarus*(1-B117),2)</f>
        <v>717</v>
      </c>
      <c r="K44" s="30">
        <f>ROUND(705*Belarus*(1-B117),2)</f>
        <v>705</v>
      </c>
      <c r="L44" s="30">
        <f>ROUND(666*Belarus*(1-B117),2)</f>
        <v>666</v>
      </c>
      <c r="M44" s="29">
        <f>ROUND(1136*Belarus*(1-B117),2)</f>
        <v>1136</v>
      </c>
      <c r="N44" s="29">
        <f>ROUND(683*Belarus*(1-B117),2)</f>
        <v>683</v>
      </c>
      <c r="O44" s="30">
        <f>ROUND(569*Belarus*(1-B117),2)</f>
        <v>569</v>
      </c>
      <c r="P44" s="30">
        <f>ROUND(561*Belarus*(1-B117),2)</f>
        <v>561</v>
      </c>
      <c r="Q44" s="29">
        <f>ROUND(740*Belarus*(1-B117),2)</f>
        <v>740</v>
      </c>
      <c r="R44" s="29">
        <f>ROUND(561*Belarus*(1-B117),2)</f>
        <v>561</v>
      </c>
      <c r="S44" s="29">
        <f>ROUND(408*Belarus*(1-B117),2)</f>
        <v>408</v>
      </c>
      <c r="T44" s="29">
        <f>ROUND(572*Belarus*(1-B117),2)</f>
        <v>572</v>
      </c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20" customHeight="1" x14ac:dyDescent="0.15">
      <c r="A45" s="128"/>
      <c r="B45" s="25" t="s">
        <v>46</v>
      </c>
      <c r="C45" s="22" t="s">
        <v>38</v>
      </c>
      <c r="D45" s="23">
        <v>0.312</v>
      </c>
      <c r="E45" s="21">
        <f>ROUND(488*Belarus*(1-B117),2)</f>
        <v>488</v>
      </c>
      <c r="F45" s="21">
        <f>ROUND(511*Belarus*(1-B117),2)</f>
        <v>511</v>
      </c>
      <c r="G45" s="21">
        <f>ROUND(416*Belarus*(1-B117),2)</f>
        <v>416</v>
      </c>
      <c r="H45" s="24">
        <f>ROUND(576*Belarus*(1-B117),2)</f>
        <v>576</v>
      </c>
      <c r="I45" s="24">
        <f>ROUND(572*Belarus*(1-B117),2)</f>
        <v>572</v>
      </c>
      <c r="J45" s="24">
        <f>ROUND(478*Belarus*(1-B117),2)</f>
        <v>478</v>
      </c>
      <c r="K45" s="24">
        <f>ROUND(470*Belarus*(1-B117),2)</f>
        <v>470</v>
      </c>
      <c r="L45" s="24">
        <f>ROUND(444*Belarus*(1-B117),2)</f>
        <v>444</v>
      </c>
      <c r="M45" s="21">
        <f>ROUND(757*Belarus*(1-B117),2)</f>
        <v>757</v>
      </c>
      <c r="N45" s="21">
        <f>ROUND(455*Belarus*(1-B117),2)</f>
        <v>455</v>
      </c>
      <c r="O45" s="24">
        <f>ROUND(379*Belarus*(1-B117),2)</f>
        <v>379</v>
      </c>
      <c r="P45" s="24">
        <f>ROUND(374*Belarus*(1-B117),2)</f>
        <v>374</v>
      </c>
      <c r="Q45" s="21">
        <f>ROUND(493*Belarus*(1-B117),2)</f>
        <v>493</v>
      </c>
      <c r="R45" s="21">
        <f>ROUND(374*Belarus*(1-B117),2)</f>
        <v>374</v>
      </c>
      <c r="S45" s="21">
        <f>ROUND(272*Belarus*(1-B117),2)</f>
        <v>272</v>
      </c>
      <c r="T45" s="21">
        <f>ROUND(381*Belarus*(1-B117),2)</f>
        <v>381</v>
      </c>
    </row>
    <row r="46" spans="1:52" ht="20" customHeight="1" x14ac:dyDescent="0.15">
      <c r="A46" s="128"/>
      <c r="B46" s="26" t="s">
        <v>66</v>
      </c>
      <c r="C46" s="40" t="s">
        <v>38</v>
      </c>
      <c r="D46" s="28">
        <v>0.312</v>
      </c>
      <c r="E46" s="29">
        <f>ROUND(488*Belarus*(1-B117),2)</f>
        <v>488</v>
      </c>
      <c r="F46" s="29">
        <f>ROUND(511*Belarus*(1-B117),2)</f>
        <v>511</v>
      </c>
      <c r="G46" s="29">
        <f>ROUND(416*Belarus*(1-B117),2)</f>
        <v>416</v>
      </c>
      <c r="H46" s="30">
        <f>ROUND(576*Belarus*(1-B117),2)</f>
        <v>576</v>
      </c>
      <c r="I46" s="30">
        <f>ROUND(572*Belarus*(1-B117),2)</f>
        <v>572</v>
      </c>
      <c r="J46" s="30">
        <f>ROUND(478*Belarus*(1-B117),2)</f>
        <v>478</v>
      </c>
      <c r="K46" s="30">
        <f>ROUND(470*Belarus*(1-B117),2)</f>
        <v>470</v>
      </c>
      <c r="L46" s="30">
        <f>ROUND(444*Belarus*(1-B117),2)</f>
        <v>444</v>
      </c>
      <c r="M46" s="29">
        <f>ROUND(757*Belarus*(1-B117),2)</f>
        <v>757</v>
      </c>
      <c r="N46" s="29">
        <f>ROUND(455*Belarus*(1-B117),2)</f>
        <v>455</v>
      </c>
      <c r="O46" s="30">
        <f>ROUND(379*Belarus*(1-B117),2)</f>
        <v>379</v>
      </c>
      <c r="P46" s="30">
        <f>ROUND(374*Belarus*(1-B117),2)</f>
        <v>374</v>
      </c>
      <c r="Q46" s="29">
        <f>ROUND(493*Belarus*(1-B117),2)</f>
        <v>493</v>
      </c>
      <c r="R46" s="29">
        <f>ROUND(374*Belarus*(1-B117),2)</f>
        <v>374</v>
      </c>
      <c r="S46" s="29">
        <f>ROUND(272*Belarus*(1-B117),2)</f>
        <v>272</v>
      </c>
      <c r="T46" s="29">
        <f>ROUND(381*Belarus*(1-B117),2)</f>
        <v>381</v>
      </c>
    </row>
    <row r="47" spans="1:52" s="6" customFormat="1" ht="20" customHeight="1" x14ac:dyDescent="0.15">
      <c r="A47" s="41" t="s">
        <v>67</v>
      </c>
      <c r="B47" s="25" t="s">
        <v>68</v>
      </c>
      <c r="C47" s="22" t="s">
        <v>38</v>
      </c>
      <c r="D47" s="23">
        <v>0.625</v>
      </c>
      <c r="E47" s="21">
        <f>ROUND(958*Belarus*(1-B117),2)</f>
        <v>958</v>
      </c>
      <c r="F47" s="21">
        <f>ROUND(1002*Belarus*(1-B117),2)</f>
        <v>1002</v>
      </c>
      <c r="G47" s="21">
        <f>ROUND(813*Belarus*(1-B117),2)</f>
        <v>813</v>
      </c>
      <c r="H47" s="24">
        <f>ROUND(1133*Belarus*(1-B117),2)</f>
        <v>1133</v>
      </c>
      <c r="I47" s="24">
        <f>ROUND(1125*Belarus*(1-B117),2)</f>
        <v>1125</v>
      </c>
      <c r="J47" s="24">
        <f>ROUND(938*Belarus*(1-B117),2)</f>
        <v>938</v>
      </c>
      <c r="K47" s="24">
        <f>ROUND(922*Belarus*(1-B117),2)</f>
        <v>922</v>
      </c>
      <c r="L47" s="24">
        <f>ROUND(869*Belarus*(1-B117),2)</f>
        <v>869</v>
      </c>
      <c r="M47" s="21">
        <f>ROUND(1495*Belarus*(1-B117),2)</f>
        <v>1495</v>
      </c>
      <c r="N47" s="21">
        <f>ROUND(891*Belarus*(1-B117),2)</f>
        <v>891</v>
      </c>
      <c r="O47" s="24">
        <f>ROUND(739*Belarus*(1-B117),2)</f>
        <v>739</v>
      </c>
      <c r="P47" s="24">
        <f>ROUND(729*Belarus*(1-B117),2)</f>
        <v>729</v>
      </c>
      <c r="Q47" s="21">
        <f>ROUND(967*Belarus*(1-B117),2)</f>
        <v>967</v>
      </c>
      <c r="R47" s="21">
        <f>ROUND(729*Belarus*(1-B117),2)</f>
        <v>729</v>
      </c>
      <c r="S47" s="21">
        <f>ROUND(524*Belarus*(1-B117),2)</f>
        <v>524</v>
      </c>
      <c r="T47" s="21">
        <f>ROUND(743*Belarus*(1-B117),2)</f>
        <v>743</v>
      </c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20" customHeight="1" x14ac:dyDescent="0.15">
      <c r="A48" s="128" t="s">
        <v>69</v>
      </c>
      <c r="B48" s="25" t="s">
        <v>70</v>
      </c>
      <c r="C48" s="22" t="s">
        <v>38</v>
      </c>
      <c r="D48" s="23">
        <v>0.25</v>
      </c>
      <c r="E48" s="21">
        <f>ROUND(395*Belarus*(1-B117),2)</f>
        <v>395</v>
      </c>
      <c r="F48" s="21">
        <f>ROUND(412*Belarus*(1-B117),2)</f>
        <v>412</v>
      </c>
      <c r="G48" s="21">
        <f>ROUND(337*Belarus*(1-B117),2)</f>
        <v>337</v>
      </c>
      <c r="H48" s="24">
        <f>ROUND(465*Belarus*(1-B117),2)</f>
        <v>465</v>
      </c>
      <c r="I48" s="24">
        <f>ROUND(462*Belarus*(1-B117),2)</f>
        <v>462</v>
      </c>
      <c r="J48" s="24">
        <f>ROUND(387*Belarus*(1-B117),2)</f>
        <v>387</v>
      </c>
      <c r="K48" s="24">
        <f>ROUND(380*Belarus*(1-B117),2)</f>
        <v>380</v>
      </c>
      <c r="L48" s="24">
        <f>ROUND(359*Belarus*(1-B117),2)</f>
        <v>359</v>
      </c>
      <c r="M48" s="21">
        <f>ROUND(610*Belarus*(1-B117),2)</f>
        <v>610</v>
      </c>
      <c r="N48" s="21">
        <f>ROUND(368*Belarus*(1-B117),2)</f>
        <v>368</v>
      </c>
      <c r="O48" s="24">
        <f>ROUND(307*Belarus*(1-B117),2)</f>
        <v>307</v>
      </c>
      <c r="P48" s="24">
        <f>ROUND(303*Belarus*(1-B117),2)</f>
        <v>303</v>
      </c>
      <c r="Q48" s="21">
        <f>ROUND(398*Belarus*(1-B117),2)</f>
        <v>398</v>
      </c>
      <c r="R48" s="21">
        <f>ROUND(303*Belarus*(1-B117),2)</f>
        <v>303</v>
      </c>
      <c r="S48" s="21">
        <f>ROUND(221*Belarus*(1-B117),2)</f>
        <v>221</v>
      </c>
      <c r="T48" s="21">
        <f>ROUND(309*Belarus*(1-B117),2)</f>
        <v>309</v>
      </c>
    </row>
    <row r="49" spans="1:52" ht="20" customHeight="1" x14ac:dyDescent="0.15">
      <c r="A49" s="128"/>
      <c r="B49" s="26" t="s">
        <v>71</v>
      </c>
      <c r="C49" s="27" t="s">
        <v>38</v>
      </c>
      <c r="D49" s="28">
        <v>0.25</v>
      </c>
      <c r="E49" s="29">
        <f>ROUND(593*Belarus*(1-B117),2)</f>
        <v>593</v>
      </c>
      <c r="F49" s="29">
        <f>ROUND(618*Belarus*(1-B117),2)</f>
        <v>618</v>
      </c>
      <c r="G49" s="29">
        <f>ROUND(506*Belarus*(1-B117),2)</f>
        <v>506</v>
      </c>
      <c r="H49" s="30">
        <f>ROUND(698*Belarus*(1-B117),2)</f>
        <v>698</v>
      </c>
      <c r="I49" s="30">
        <f>ROUND(693*Belarus*(1-B117),2)</f>
        <v>693</v>
      </c>
      <c r="J49" s="30">
        <f>ROUND(581*Belarus*(1-B117),2)</f>
        <v>581</v>
      </c>
      <c r="K49" s="30">
        <f>ROUND(570*Belarus*(1-B117),2)</f>
        <v>570</v>
      </c>
      <c r="L49" s="30">
        <f>ROUND(539*Belarus*(1-B117),2)</f>
        <v>539</v>
      </c>
      <c r="M49" s="29">
        <f>ROUND(915*Belarus*(1-B117),2)</f>
        <v>915</v>
      </c>
      <c r="N49" s="29">
        <f>ROUND(552*Belarus*(1-B117),2)</f>
        <v>552</v>
      </c>
      <c r="O49" s="30">
        <f>ROUND(461*Belarus*(1-B117),2)</f>
        <v>461</v>
      </c>
      <c r="P49" s="30">
        <f>ROUND(455*Belarus*(1-B117),2)</f>
        <v>455</v>
      </c>
      <c r="Q49" s="29">
        <f>ROUND(597*Belarus*(1-B117),2)</f>
        <v>597</v>
      </c>
      <c r="R49" s="29">
        <f>ROUND(455*Belarus*(1-B117),2)</f>
        <v>455</v>
      </c>
      <c r="S49" s="29">
        <f>ROUND(332*Belarus*(1-B117),2)</f>
        <v>332</v>
      </c>
      <c r="T49" s="29">
        <f>ROUND(464*Belarus*(1-B117),2)</f>
        <v>464</v>
      </c>
    </row>
    <row r="50" spans="1:52" ht="20" customHeight="1" x14ac:dyDescent="0.15">
      <c r="A50" s="128"/>
      <c r="B50" s="25" t="s">
        <v>72</v>
      </c>
      <c r="C50" s="22" t="s">
        <v>38</v>
      </c>
      <c r="D50" s="23">
        <v>0.312</v>
      </c>
      <c r="E50" s="21">
        <f>ROUND(488*Belarus*(1-B117),2)</f>
        <v>488</v>
      </c>
      <c r="F50" s="21">
        <f>ROUND(511*Belarus*(1-B117),2)</f>
        <v>511</v>
      </c>
      <c r="G50" s="21">
        <f>ROUND(416*Belarus*(1-B117),2)</f>
        <v>416</v>
      </c>
      <c r="H50" s="24">
        <f>ROUND(576*Belarus*(1-B117),2)</f>
        <v>576</v>
      </c>
      <c r="I50" s="24">
        <f>ROUND(572*Belarus*(1-B117),2)</f>
        <v>572</v>
      </c>
      <c r="J50" s="24">
        <f>ROUND(478*Belarus*(1-B117),2)</f>
        <v>478</v>
      </c>
      <c r="K50" s="24">
        <f>ROUND(470*Belarus*(1-B117),2)</f>
        <v>470</v>
      </c>
      <c r="L50" s="24">
        <f>ROUND(444*Belarus*(1-B117),2)</f>
        <v>444</v>
      </c>
      <c r="M50" s="21">
        <f>ROUND(757*Belarus*(1-B117),2)</f>
        <v>757</v>
      </c>
      <c r="N50" s="21">
        <f>ROUND(455*Belarus*(1-B117),2)</f>
        <v>455</v>
      </c>
      <c r="O50" s="24">
        <f>ROUND(379*Belarus*(1-B117),2)</f>
        <v>379</v>
      </c>
      <c r="P50" s="24">
        <f>ROUND(374*Belarus*(1-B117),2)</f>
        <v>374</v>
      </c>
      <c r="Q50" s="21">
        <f>ROUND(493*Belarus*(1-B117),2)</f>
        <v>493</v>
      </c>
      <c r="R50" s="21">
        <f>ROUND(374*Belarus*(1-B117),2)</f>
        <v>374</v>
      </c>
      <c r="S50" s="21">
        <f>ROUND(272*Belarus*(1-B117),2)</f>
        <v>272</v>
      </c>
      <c r="T50" s="21">
        <f>ROUND(381*Belarus*(1-B117),2)</f>
        <v>381</v>
      </c>
    </row>
    <row r="51" spans="1:52" s="6" customFormat="1" ht="20" customHeight="1" x14ac:dyDescent="0.15">
      <c r="A51" s="128"/>
      <c r="B51" s="26" t="s">
        <v>73</v>
      </c>
      <c r="C51" s="27" t="s">
        <v>38</v>
      </c>
      <c r="D51" s="28">
        <v>0.25</v>
      </c>
      <c r="E51" s="29">
        <f>ROUND(395*Belarus*(1-B117),2)</f>
        <v>395</v>
      </c>
      <c r="F51" s="29">
        <f>ROUND(412*Belarus*(1-B117),2)</f>
        <v>412</v>
      </c>
      <c r="G51" s="29">
        <f>ROUND(337*Belarus*(1-B117),2)</f>
        <v>337</v>
      </c>
      <c r="H51" s="30">
        <f>ROUND(465*Belarus*(1-B117),2)</f>
        <v>465</v>
      </c>
      <c r="I51" s="30">
        <f>ROUND(462*Belarus*(1-B117),2)</f>
        <v>462</v>
      </c>
      <c r="J51" s="30">
        <f>ROUND(387*Belarus*(1-B117),2)</f>
        <v>387</v>
      </c>
      <c r="K51" s="30">
        <f>ROUND(380*Belarus*(1-B117),2)</f>
        <v>380</v>
      </c>
      <c r="L51" s="30">
        <f>ROUND(359*Belarus*(1-B117),2)</f>
        <v>359</v>
      </c>
      <c r="M51" s="29">
        <f>ROUND(610*Belarus*(1-B117),2)</f>
        <v>610</v>
      </c>
      <c r="N51" s="29">
        <f>ROUND(368*Belarus*(1-B117),2)</f>
        <v>368</v>
      </c>
      <c r="O51" s="30">
        <f>ROUND(307*Belarus*(1-B117),2)</f>
        <v>307</v>
      </c>
      <c r="P51" s="30">
        <f>ROUND(303*Belarus*(1-B117),2)</f>
        <v>303</v>
      </c>
      <c r="Q51" s="29">
        <f>ROUND(398*Belarus*(1-B117),2)</f>
        <v>398</v>
      </c>
      <c r="R51" s="29">
        <f>ROUND(303*Belarus*(1-B117),2)</f>
        <v>303</v>
      </c>
      <c r="S51" s="29">
        <f>ROUND(221*Belarus*(1-B117),2)</f>
        <v>221</v>
      </c>
      <c r="T51" s="29">
        <f>ROUND(309*Belarus*(1-B117),2)</f>
        <v>309</v>
      </c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20" customHeight="1" x14ac:dyDescent="0.15">
      <c r="A52" s="128"/>
      <c r="B52" s="25" t="s">
        <v>74</v>
      </c>
      <c r="C52" s="22" t="s">
        <v>1</v>
      </c>
      <c r="D52" s="23">
        <v>0.13</v>
      </c>
      <c r="E52" s="21">
        <f>ROUND(349*Belarus*(1-B117),2)</f>
        <v>349</v>
      </c>
      <c r="F52" s="21">
        <f>ROUND(359*Belarus*(1-B117),2)</f>
        <v>359</v>
      </c>
      <c r="G52" s="21">
        <f>ROUND(319*Belarus*(1-B117),2)</f>
        <v>319</v>
      </c>
      <c r="H52" s="24">
        <f>ROUND(386*Belarus*(1-B117),2)</f>
        <v>386</v>
      </c>
      <c r="I52" s="24">
        <f>ROUND(384*Belarus*(1-B117),2)</f>
        <v>384</v>
      </c>
      <c r="J52" s="24">
        <f>ROUND(345*Belarus*(1-B117),2)</f>
        <v>345</v>
      </c>
      <c r="K52" s="24">
        <f>ROUND(342*Belarus*(1-B117),2)</f>
        <v>342</v>
      </c>
      <c r="L52" s="24">
        <f>ROUND(331*Belarus*(1-B117),2)</f>
        <v>331</v>
      </c>
      <c r="M52" s="21">
        <f>ROUND(461*Belarus*(1-B117),2)</f>
        <v>461</v>
      </c>
      <c r="N52" s="21">
        <f>ROUND(336*Belarus*(1-B117),2)</f>
        <v>336</v>
      </c>
      <c r="O52" s="24">
        <f>ROUND(304*Belarus*(1-B117),2)</f>
        <v>304</v>
      </c>
      <c r="P52" s="24">
        <f>ROUND(302*Belarus*(1-B117),2)</f>
        <v>302</v>
      </c>
      <c r="Q52" s="21">
        <f>ROUND(351*Belarus*(1-B117),2)</f>
        <v>351</v>
      </c>
      <c r="R52" s="21">
        <f>ROUND(302*Belarus*(1-B117),2)</f>
        <v>302</v>
      </c>
      <c r="S52" s="21">
        <f>ROUND(262*Belarus*(1-B117),2)</f>
        <v>262</v>
      </c>
      <c r="T52" s="21">
        <f>ROUND(308*Belarus*(1-B117),2)</f>
        <v>308</v>
      </c>
    </row>
    <row r="53" spans="1:52" s="6" customFormat="1" ht="20" customHeight="1" x14ac:dyDescent="0.15">
      <c r="A53" s="128" t="s">
        <v>75</v>
      </c>
      <c r="B53" s="25" t="s">
        <v>76</v>
      </c>
      <c r="C53" s="22" t="s">
        <v>38</v>
      </c>
      <c r="D53" s="23">
        <v>0.17499999999999999</v>
      </c>
      <c r="E53" s="21">
        <f>ROUND(287*Belarus*(1-B117),2)</f>
        <v>287</v>
      </c>
      <c r="F53" s="21">
        <f>ROUND(300*Belarus*(1-B117),2)</f>
        <v>300</v>
      </c>
      <c r="G53" s="21">
        <f>ROUND(246*Belarus*(1-B117),2)</f>
        <v>246</v>
      </c>
      <c r="H53" s="24">
        <f>ROUND(338*Belarus*(1-B117),2)</f>
        <v>338</v>
      </c>
      <c r="I53" s="24">
        <f>ROUND(335*Belarus*(1-B117),2)</f>
        <v>335</v>
      </c>
      <c r="J53" s="24">
        <f>ROUND(282*Belarus*(1-B117),2)</f>
        <v>282</v>
      </c>
      <c r="K53" s="24">
        <f>ROUND(277*Belarus*(1-B117),2)</f>
        <v>277</v>
      </c>
      <c r="L53" s="24">
        <f>ROUND(262*Belarus*(1-B117),2)</f>
        <v>262</v>
      </c>
      <c r="M53" s="21">
        <f>ROUND(441*Belarus*(1-B117),2)</f>
        <v>441</v>
      </c>
      <c r="N53" s="21">
        <f>ROUND(268*Belarus*(1-B117),2)</f>
        <v>268</v>
      </c>
      <c r="O53" s="24">
        <f>ROUND(225*Belarus*(1-B117),2)</f>
        <v>225</v>
      </c>
      <c r="P53" s="24">
        <f>ROUND(222*Belarus*(1-B117),2)</f>
        <v>222</v>
      </c>
      <c r="Q53" s="21">
        <f>ROUND(290*Belarus*(1-B117),2)</f>
        <v>290</v>
      </c>
      <c r="R53" s="21">
        <f>ROUND(222*Belarus*(1-B117),2)</f>
        <v>222</v>
      </c>
      <c r="S53" s="21">
        <f>ROUND(163*Belarus*(1-B117),2)</f>
        <v>163</v>
      </c>
      <c r="T53" s="21">
        <f>ROUND(226*Belarus*(1-B117),2)</f>
        <v>226</v>
      </c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20" customHeight="1" x14ac:dyDescent="0.15">
      <c r="A54" s="128"/>
      <c r="B54" s="26" t="s">
        <v>77</v>
      </c>
      <c r="C54" s="27" t="s">
        <v>38</v>
      </c>
      <c r="D54" s="28">
        <v>0.20799999999999999</v>
      </c>
      <c r="E54" s="29">
        <f>ROUND(332*Belarus*(1-B117),2)</f>
        <v>332</v>
      </c>
      <c r="F54" s="29">
        <f>ROUND(347*Belarus*(1-B117),2)</f>
        <v>347</v>
      </c>
      <c r="G54" s="29">
        <f>ROUND(284*Belarus*(1-B117),2)</f>
        <v>284</v>
      </c>
      <c r="H54" s="30">
        <f>ROUND(391*Belarus*(1-B117),2)</f>
        <v>391</v>
      </c>
      <c r="I54" s="30">
        <f>ROUND(388*Belarus*(1-B117),2)</f>
        <v>388</v>
      </c>
      <c r="J54" s="30">
        <f>ROUND(325*Belarus*(1-B117),2)</f>
        <v>325</v>
      </c>
      <c r="K54" s="30">
        <f>ROUND(320*Belarus*(1-B117),2)</f>
        <v>320</v>
      </c>
      <c r="L54" s="30">
        <f>ROUND(303*Belarus*(1-B117),2)</f>
        <v>303</v>
      </c>
      <c r="M54" s="29">
        <f>ROUND(511*Belarus*(1-B117),2)</f>
        <v>511</v>
      </c>
      <c r="N54" s="29">
        <f>ROUND(310*Belarus*(1-B117),2)</f>
        <v>310</v>
      </c>
      <c r="O54" s="30">
        <f>ROUND(259*Belarus*(1-B117),2)</f>
        <v>259</v>
      </c>
      <c r="P54" s="30">
        <f>ROUND(256*Belarus*(1-B117),2)</f>
        <v>256</v>
      </c>
      <c r="Q54" s="29">
        <f>ROUND(335*Belarus*(1-B117),2)</f>
        <v>335</v>
      </c>
      <c r="R54" s="29">
        <f>ROUND(256*Belarus*(1-B117),2)</f>
        <v>256</v>
      </c>
      <c r="S54" s="29">
        <f>ROUND(188*Belarus*(1-B117),2)</f>
        <v>188</v>
      </c>
      <c r="T54" s="29">
        <f>ROUND(260*Belarus*(1-B117),2)</f>
        <v>260</v>
      </c>
    </row>
    <row r="55" spans="1:52" s="6" customFormat="1" ht="20" customHeight="1" x14ac:dyDescent="0.15">
      <c r="A55" s="128"/>
      <c r="B55" s="25" t="s">
        <v>78</v>
      </c>
      <c r="C55" s="22" t="s">
        <v>38</v>
      </c>
      <c r="D55" s="23">
        <v>0.19500000000000001</v>
      </c>
      <c r="E55" s="21">
        <f>ROUND(332*Belarus*(1-B117),2)</f>
        <v>332</v>
      </c>
      <c r="F55" s="21">
        <f>ROUND(347*Belarus*(1-B117),2)</f>
        <v>347</v>
      </c>
      <c r="G55" s="21">
        <f>ROUND(284*Belarus*(1-B117),2)</f>
        <v>284</v>
      </c>
      <c r="H55" s="24">
        <f>ROUND(391*Belarus*(1-B117),2)</f>
        <v>391</v>
      </c>
      <c r="I55" s="24">
        <f>ROUND(388*Belarus*(1-B117),2)</f>
        <v>388</v>
      </c>
      <c r="J55" s="24">
        <f>ROUND(325*Belarus*(1-B117),2)</f>
        <v>325</v>
      </c>
      <c r="K55" s="24">
        <f>ROUND(320*Belarus*(1-B117),2)</f>
        <v>320</v>
      </c>
      <c r="L55" s="24">
        <f>ROUND(303*Belarus*(1-B117),2)</f>
        <v>303</v>
      </c>
      <c r="M55" s="21">
        <f>ROUND(511*Belarus*(1-B117),2)</f>
        <v>511</v>
      </c>
      <c r="N55" s="21">
        <f>ROUND(310*Belarus*(1-B117),2)</f>
        <v>310</v>
      </c>
      <c r="O55" s="24">
        <f>ROUND(259*Belarus*(1-B117),2)</f>
        <v>259</v>
      </c>
      <c r="P55" s="24">
        <f>ROUND(256*Belarus*(1-B117),2)</f>
        <v>256</v>
      </c>
      <c r="Q55" s="21">
        <f>ROUND(335*Belarus*(1-B117),2)</f>
        <v>335</v>
      </c>
      <c r="R55" s="21">
        <f>ROUND(256*Belarus*(1-B117),2)</f>
        <v>256</v>
      </c>
      <c r="S55" s="21">
        <f>ROUND(188*Belarus*(1-B117),2)</f>
        <v>188</v>
      </c>
      <c r="T55" s="21">
        <f>ROUND(260*Belarus*(1-B117),2)</f>
        <v>260</v>
      </c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20" customHeight="1" x14ac:dyDescent="0.15">
      <c r="A56" s="128" t="s">
        <v>79</v>
      </c>
      <c r="B56" s="133"/>
      <c r="C56" s="22" t="s">
        <v>38</v>
      </c>
      <c r="D56" s="23">
        <v>0.17799999999999999</v>
      </c>
      <c r="E56" s="21">
        <f>ROUND(287*Belarus*(1-B117),2)</f>
        <v>287</v>
      </c>
      <c r="F56" s="21">
        <f>ROUND(300*Belarus*(1-B117),2)</f>
        <v>300</v>
      </c>
      <c r="G56" s="21">
        <f>ROUND(246*Belarus*(1-B117),2)</f>
        <v>246</v>
      </c>
      <c r="H56" s="24">
        <f>ROUND(338*Belarus*(1-B117),2)</f>
        <v>338</v>
      </c>
      <c r="I56" s="24">
        <f>ROUND(335*Belarus*(1-B117),2)</f>
        <v>335</v>
      </c>
      <c r="J56" s="24">
        <f>ROUND(282*Belarus*(1-B117),2)</f>
        <v>282</v>
      </c>
      <c r="K56" s="24">
        <f>ROUND(277*Belarus*(1-B117),2)</f>
        <v>277</v>
      </c>
      <c r="L56" s="24">
        <f>ROUND(262*Belarus*(1-B117),2)</f>
        <v>262</v>
      </c>
      <c r="M56" s="21">
        <f>ROUND(441*Belarus*(1-B117),2)</f>
        <v>441</v>
      </c>
      <c r="N56" s="21">
        <f>ROUND(268*Belarus*(1-B117),2)</f>
        <v>268</v>
      </c>
      <c r="O56" s="24">
        <f>ROUND(225*Belarus*(1-B117),2)</f>
        <v>225</v>
      </c>
      <c r="P56" s="24">
        <f>ROUND(222*Belarus*(1-B117),2)</f>
        <v>222</v>
      </c>
      <c r="Q56" s="21">
        <f>ROUND(290*Belarus*(1-B117),2)</f>
        <v>290</v>
      </c>
      <c r="R56" s="21">
        <f>ROUND(222*Belarus*(1-B117),2)</f>
        <v>222</v>
      </c>
      <c r="S56" s="21">
        <f>ROUND(163*Belarus*(1-B117),2)</f>
        <v>163</v>
      </c>
      <c r="T56" s="21">
        <f>ROUND(226*Belarus*(1-B117),2)</f>
        <v>226</v>
      </c>
    </row>
    <row r="57" spans="1:52" s="7" customFormat="1" ht="30" customHeight="1" x14ac:dyDescent="0.15">
      <c r="A57" s="41" t="s">
        <v>80</v>
      </c>
      <c r="B57" s="25" t="s">
        <v>81</v>
      </c>
      <c r="C57" s="22" t="s">
        <v>38</v>
      </c>
      <c r="D57" s="23">
        <v>0.25</v>
      </c>
      <c r="E57" s="21">
        <f>ROUND(395*Belarus*(1-B117),2)</f>
        <v>395</v>
      </c>
      <c r="F57" s="21">
        <f>ROUND(412*Belarus*(1-B117),2)</f>
        <v>412</v>
      </c>
      <c r="G57" s="21">
        <f>ROUND(337*Belarus*(1-B117),2)</f>
        <v>337</v>
      </c>
      <c r="H57" s="24">
        <f>ROUND(465*Belarus*(1-B117),2)</f>
        <v>465</v>
      </c>
      <c r="I57" s="24">
        <f>ROUND(462*Belarus*(1-B117),2)</f>
        <v>462</v>
      </c>
      <c r="J57" s="24">
        <f>ROUND(387*Belarus*(1-B117),2)</f>
        <v>387</v>
      </c>
      <c r="K57" s="24">
        <f>ROUND(380*Belarus*(1-B117),2)</f>
        <v>380</v>
      </c>
      <c r="L57" s="24">
        <f>ROUND(359*Belarus*(1-B117),2)</f>
        <v>359</v>
      </c>
      <c r="M57" s="21">
        <f>ROUND(610*Belarus*(1-B117),2)</f>
        <v>610</v>
      </c>
      <c r="N57" s="21">
        <f>ROUND(368*Belarus*(1-B117),2)</f>
        <v>368</v>
      </c>
      <c r="O57" s="24">
        <f>ROUND(307*Belarus*(1-B117),2)</f>
        <v>307</v>
      </c>
      <c r="P57" s="24">
        <f>ROUND(303*Belarus*(1-B117),2)</f>
        <v>303</v>
      </c>
      <c r="Q57" s="21">
        <f>ROUND(398*Belarus*(1-B117),2)</f>
        <v>398</v>
      </c>
      <c r="R57" s="21">
        <f>ROUND(303*Belarus*(1-B117),2)</f>
        <v>303</v>
      </c>
      <c r="S57" s="21">
        <f>ROUND(221*Belarus*(1-B117),2)</f>
        <v>221</v>
      </c>
      <c r="T57" s="21">
        <f>ROUND(309*Belarus*(1-B117),2)</f>
        <v>309</v>
      </c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</row>
    <row r="58" spans="1:52" s="7" customFormat="1" ht="20" customHeight="1" x14ac:dyDescent="0.15">
      <c r="A58" s="128" t="s">
        <v>82</v>
      </c>
      <c r="B58" s="26" t="s">
        <v>83</v>
      </c>
      <c r="C58" s="40" t="s">
        <v>38</v>
      </c>
      <c r="D58" s="28">
        <v>0.20799999999999999</v>
      </c>
      <c r="E58" s="29">
        <f>ROUND(332*Belarus*(1-B117),2)</f>
        <v>332</v>
      </c>
      <c r="F58" s="29">
        <f>ROUND(347*Belarus*(1-B117),2)</f>
        <v>347</v>
      </c>
      <c r="G58" s="29">
        <f>ROUND(284*Belarus*(1-B117),2)</f>
        <v>284</v>
      </c>
      <c r="H58" s="30">
        <f>ROUND(391*Belarus*(1-B117),2)</f>
        <v>391</v>
      </c>
      <c r="I58" s="30">
        <f>ROUND(388*Belarus*(1-B117),2)</f>
        <v>388</v>
      </c>
      <c r="J58" s="30">
        <f>ROUND(325*Belarus*(1-B117),2)</f>
        <v>325</v>
      </c>
      <c r="K58" s="30">
        <f>ROUND(320*Belarus*(1-B117),2)</f>
        <v>320</v>
      </c>
      <c r="L58" s="30">
        <f>ROUND(303*Belarus*(1-B117),2)</f>
        <v>303</v>
      </c>
      <c r="M58" s="29">
        <f>ROUND(511*Belarus*(1-B117),2)</f>
        <v>511</v>
      </c>
      <c r="N58" s="29">
        <f>ROUND(310*Belarus*(1-B117),2)</f>
        <v>310</v>
      </c>
      <c r="O58" s="30">
        <f>ROUND(259*Belarus*(1-B117),2)</f>
        <v>259</v>
      </c>
      <c r="P58" s="30">
        <f>ROUND(256*Belarus*(1-B117),2)</f>
        <v>256</v>
      </c>
      <c r="Q58" s="29">
        <f>ROUND(335*Belarus*(1-B117),2)</f>
        <v>335</v>
      </c>
      <c r="R58" s="29">
        <f>ROUND(256*Belarus*(1-B117),2)</f>
        <v>256</v>
      </c>
      <c r="S58" s="29">
        <f>ROUND(188*Belarus*(1-B117),2)</f>
        <v>188</v>
      </c>
      <c r="T58" s="29">
        <f>ROUND(260*Belarus*(1-B117),2)</f>
        <v>260</v>
      </c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</row>
    <row r="59" spans="1:52" ht="20" customHeight="1" x14ac:dyDescent="0.15">
      <c r="A59" s="128"/>
      <c r="B59" s="25" t="s">
        <v>84</v>
      </c>
      <c r="C59" s="22" t="s">
        <v>38</v>
      </c>
      <c r="D59" s="23">
        <v>0.312</v>
      </c>
      <c r="E59" s="21">
        <f>ROUND(488*Belarus*(1-B117),2)</f>
        <v>488</v>
      </c>
      <c r="F59" s="21">
        <f>ROUND(511*Belarus*(1-B117),2)</f>
        <v>511</v>
      </c>
      <c r="G59" s="21">
        <f>ROUND(416*Belarus*(1-B117),2)</f>
        <v>416</v>
      </c>
      <c r="H59" s="24">
        <f>ROUND(576*Belarus*(1-B117),2)</f>
        <v>576</v>
      </c>
      <c r="I59" s="24">
        <f>ROUND(572*Belarus*(1-B117),2)</f>
        <v>572</v>
      </c>
      <c r="J59" s="24">
        <f>ROUND(478*Belarus*(1-B117),2)</f>
        <v>478</v>
      </c>
      <c r="K59" s="24">
        <f>ROUND(470*Belarus*(1-B117),2)</f>
        <v>470</v>
      </c>
      <c r="L59" s="24">
        <f>ROUND(444*Belarus*(1-B117),2)</f>
        <v>444</v>
      </c>
      <c r="M59" s="21">
        <f>ROUND(757*Belarus*(1-B117),2)</f>
        <v>757</v>
      </c>
      <c r="N59" s="21">
        <f>ROUND(455*Belarus*(1-B117),2)</f>
        <v>455</v>
      </c>
      <c r="O59" s="24">
        <f>ROUND(379*Belarus*(1-B117),2)</f>
        <v>379</v>
      </c>
      <c r="P59" s="24">
        <f>ROUND(374*Belarus*(1-B117),2)</f>
        <v>374</v>
      </c>
      <c r="Q59" s="21">
        <f>ROUND(493*Belarus*(1-B117),2)</f>
        <v>493</v>
      </c>
      <c r="R59" s="21">
        <f>ROUND(374*Belarus*(1-B117),2)</f>
        <v>374</v>
      </c>
      <c r="S59" s="21">
        <f>ROUND(272*Belarus*(1-B117),2)</f>
        <v>272</v>
      </c>
      <c r="T59" s="21">
        <f>ROUND(381*Belarus*(1-B117),2)</f>
        <v>381</v>
      </c>
    </row>
    <row r="60" spans="1:52" ht="20" customHeight="1" x14ac:dyDescent="0.15">
      <c r="A60" s="128"/>
      <c r="B60" s="26" t="s">
        <v>85</v>
      </c>
      <c r="C60" s="27" t="s">
        <v>38</v>
      </c>
      <c r="D60" s="28">
        <v>0.312</v>
      </c>
      <c r="E60" s="29">
        <f>ROUND(732*Belarus*(1-B117),2)</f>
        <v>732</v>
      </c>
      <c r="F60" s="29">
        <f>ROUND(767*Belarus*(1-B117),2)</f>
        <v>767</v>
      </c>
      <c r="G60" s="29">
        <f>ROUND(624*Belarus*(1-B117),2)</f>
        <v>624</v>
      </c>
      <c r="H60" s="30">
        <f>ROUND(864*Belarus*(1-B117),2)</f>
        <v>864</v>
      </c>
      <c r="I60" s="30">
        <f>ROUND(858*Belarus*(1-B117),2)</f>
        <v>858</v>
      </c>
      <c r="J60" s="30">
        <f>ROUND(717*Belarus*(1-B117),2)</f>
        <v>717</v>
      </c>
      <c r="K60" s="30">
        <f>ROUND(705*Belarus*(1-B117),2)</f>
        <v>705</v>
      </c>
      <c r="L60" s="30">
        <f>ROUND(666*Belarus*(1-B117),2)</f>
        <v>666</v>
      </c>
      <c r="M60" s="29">
        <f>ROUND(1136*Belarus*(1-B117),2)</f>
        <v>1136</v>
      </c>
      <c r="N60" s="29">
        <f>ROUND(683*Belarus*(1-B117),2)</f>
        <v>683</v>
      </c>
      <c r="O60" s="30">
        <f>ROUND(569*Belarus*(1-B117),2)</f>
        <v>569</v>
      </c>
      <c r="P60" s="30">
        <f>ROUND(561*Belarus*(1-B117),2)</f>
        <v>561</v>
      </c>
      <c r="Q60" s="29">
        <f>ROUND(740*Belarus*(1-B117),2)</f>
        <v>740</v>
      </c>
      <c r="R60" s="29">
        <f>ROUND(561*Belarus*(1-B117),2)</f>
        <v>561</v>
      </c>
      <c r="S60" s="29">
        <f>ROUND(408*Belarus*(1-B117),2)</f>
        <v>408</v>
      </c>
      <c r="T60" s="29">
        <f>ROUND(572*Belarus*(1-B117),2)</f>
        <v>572</v>
      </c>
    </row>
    <row r="61" spans="1:52" ht="20" customHeight="1" x14ac:dyDescent="0.15">
      <c r="A61" s="128"/>
      <c r="B61" s="25" t="s">
        <v>86</v>
      </c>
      <c r="C61" s="22" t="s">
        <v>38</v>
      </c>
      <c r="D61" s="23">
        <v>0.1</v>
      </c>
      <c r="E61" s="21">
        <f>ROUND(176*Belarus*(1-B117),2)</f>
        <v>176</v>
      </c>
      <c r="F61" s="21">
        <f>ROUND(183*Belarus*(1-B117),2)</f>
        <v>183</v>
      </c>
      <c r="G61" s="21">
        <f>ROUND(152*Belarus*(1-B117),2)</f>
        <v>152</v>
      </c>
      <c r="H61" s="24">
        <f>ROUND(205*Belarus*(1-B117),2)</f>
        <v>205</v>
      </c>
      <c r="I61" s="24">
        <f>ROUND(204*Belarus*(1-B117),2)</f>
        <v>204</v>
      </c>
      <c r="J61" s="24">
        <f>ROUND(172*Belarus*(1-B117),2)</f>
        <v>172</v>
      </c>
      <c r="K61" s="24">
        <f>ROUND(170*Belarus*(1-B117),2)</f>
        <v>170</v>
      </c>
      <c r="L61" s="24">
        <f>ROUND(161*Belarus*(1-B117),2)</f>
        <v>161</v>
      </c>
      <c r="M61" s="21">
        <f>ROUND(265*Belarus*(1-B117),2)</f>
        <v>265</v>
      </c>
      <c r="N61" s="21">
        <f>ROUND(165*Belarus*(1-B117),2)</f>
        <v>165</v>
      </c>
      <c r="O61" s="24">
        <f>ROUND(139*Belarus*(1-B117),2)</f>
        <v>139</v>
      </c>
      <c r="P61" s="24">
        <f>ROUND(138*Belarus*(1-B117),2)</f>
        <v>138</v>
      </c>
      <c r="Q61" s="21">
        <f>ROUND(177*Belarus*(1-B117),2)</f>
        <v>177</v>
      </c>
      <c r="R61" s="21">
        <f>ROUND(138*Belarus*(1-B117),2)</f>
        <v>138</v>
      </c>
      <c r="S61" s="21">
        <f>ROUND(103*Belarus*(1-B117),2)</f>
        <v>103</v>
      </c>
      <c r="T61" s="21">
        <f>ROUND(140*Belarus*(1-B117),2)</f>
        <v>140</v>
      </c>
    </row>
    <row r="62" spans="1:52" ht="20" customHeight="1" x14ac:dyDescent="0.15">
      <c r="A62" s="128"/>
      <c r="B62" s="26" t="s">
        <v>87</v>
      </c>
      <c r="C62" s="40" t="s">
        <v>38</v>
      </c>
      <c r="D62" s="28">
        <v>0.25</v>
      </c>
      <c r="E62" s="29">
        <f>ROUND(395*Belarus*(1-B117),2)</f>
        <v>395</v>
      </c>
      <c r="F62" s="29">
        <f>ROUND(412*Belarus*(1-B117),2)</f>
        <v>412</v>
      </c>
      <c r="G62" s="29">
        <f>ROUND(337*Belarus*(1-B117),2)</f>
        <v>337</v>
      </c>
      <c r="H62" s="30">
        <f>ROUND(465*Belarus*(1-B117),2)</f>
        <v>465</v>
      </c>
      <c r="I62" s="30">
        <f>ROUND(462*Belarus*(1-B117),2)</f>
        <v>462</v>
      </c>
      <c r="J62" s="30">
        <f>ROUND(387*Belarus*(1-B117),2)</f>
        <v>387</v>
      </c>
      <c r="K62" s="30">
        <f>ROUND(380*Belarus*(1-B117),2)</f>
        <v>380</v>
      </c>
      <c r="L62" s="30">
        <f>ROUND(359*Belarus*(1-B117),2)</f>
        <v>359</v>
      </c>
      <c r="M62" s="29">
        <f>ROUND(610*Belarus*(1-B117),2)</f>
        <v>610</v>
      </c>
      <c r="N62" s="29">
        <f>ROUND(368*Belarus*(1-B117),2)</f>
        <v>368</v>
      </c>
      <c r="O62" s="30">
        <f>ROUND(307*Belarus*(1-B117),2)</f>
        <v>307</v>
      </c>
      <c r="P62" s="30">
        <f>ROUND(303*Belarus*(1-B117),2)</f>
        <v>303</v>
      </c>
      <c r="Q62" s="29">
        <f>ROUND(398*Belarus*(1-B117),2)</f>
        <v>398</v>
      </c>
      <c r="R62" s="29">
        <f>ROUND(303*Belarus*(1-B117),2)</f>
        <v>303</v>
      </c>
      <c r="S62" s="29">
        <f>ROUND(221*Belarus*(1-B117),2)</f>
        <v>221</v>
      </c>
      <c r="T62" s="29">
        <f>ROUND(309*Belarus*(1-B117),2)</f>
        <v>309</v>
      </c>
    </row>
    <row r="63" spans="1:52" ht="20" customHeight="1" x14ac:dyDescent="0.15">
      <c r="A63" s="128" t="s">
        <v>88</v>
      </c>
      <c r="B63" s="128"/>
      <c r="C63" s="22" t="s">
        <v>38</v>
      </c>
      <c r="D63" s="23">
        <v>0.124</v>
      </c>
      <c r="E63" s="21">
        <f>ROUND(207*Belarus*(1-B117),2)</f>
        <v>207</v>
      </c>
      <c r="F63" s="21">
        <f>ROUND(216*Belarus*(1-B117),2)</f>
        <v>216</v>
      </c>
      <c r="G63" s="21">
        <f>ROUND(178*Belarus*(1-B117),2)</f>
        <v>178</v>
      </c>
      <c r="H63" s="24">
        <f>ROUND(242*Belarus*(1-B117),2)</f>
        <v>242</v>
      </c>
      <c r="I63" s="24">
        <f>ROUND(240*Belarus*(1-B117),2)</f>
        <v>240</v>
      </c>
      <c r="J63" s="24">
        <f>ROUND(203*Belarus*(1-B117),2)</f>
        <v>203</v>
      </c>
      <c r="K63" s="24">
        <f>ROUND(200*Belarus*(1-B117),2)</f>
        <v>200</v>
      </c>
      <c r="L63" s="24">
        <f>ROUND(189*Belarus*(1-B117),2)</f>
        <v>189</v>
      </c>
      <c r="M63" s="21">
        <f>ROUND(314*Belarus*(1-B117),2)</f>
        <v>314</v>
      </c>
      <c r="N63" s="21">
        <f>ROUND(194*Belarus*(1-B117),2)</f>
        <v>194</v>
      </c>
      <c r="O63" s="24">
        <f>ROUND(163*Belarus*(1-B117),2)</f>
        <v>163</v>
      </c>
      <c r="P63" s="24">
        <f>ROUND(161*Belarus*(1-B117),2)</f>
        <v>161</v>
      </c>
      <c r="Q63" s="21">
        <f>ROUND(209*Belarus*(1-B117),2)</f>
        <v>209</v>
      </c>
      <c r="R63" s="21">
        <f>ROUND(161*Belarus*(1-B117),2)</f>
        <v>161</v>
      </c>
      <c r="S63" s="21">
        <f>ROUND(120*Belarus*(1-B117),2)</f>
        <v>120</v>
      </c>
      <c r="T63" s="21">
        <f>ROUND(164*Belarus*(1-B117),2)</f>
        <v>164</v>
      </c>
    </row>
    <row r="64" spans="1:52" ht="30" customHeight="1" x14ac:dyDescent="0.15">
      <c r="A64" s="80" t="s">
        <v>89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1:20" ht="20" customHeight="1" x14ac:dyDescent="0.15">
      <c r="A65" s="132" t="s">
        <v>90</v>
      </c>
      <c r="B65" s="132"/>
      <c r="C65" s="42" t="s">
        <v>38</v>
      </c>
      <c r="D65" s="43">
        <v>0.14499999999999999</v>
      </c>
      <c r="E65" s="44">
        <f>ROUND(254*Belarus*(1-B117),2)</f>
        <v>254</v>
      </c>
      <c r="F65" s="44">
        <f>ROUND(265*Belarus*(1-B117),2)</f>
        <v>265</v>
      </c>
      <c r="G65" s="44">
        <f>ROUND(218*Belarus*(1-B117),2)</f>
        <v>218</v>
      </c>
      <c r="H65" s="45">
        <f>ROUND(298*Belarus*(1-B117),2)</f>
        <v>298</v>
      </c>
      <c r="I65" s="45">
        <f>ROUND(296*Belarus*(1-B117),2)</f>
        <v>296</v>
      </c>
      <c r="J65" s="45">
        <f>ROUND(249*Belarus*(1-B117),2)</f>
        <v>249</v>
      </c>
      <c r="K65" s="45">
        <f>ROUND(245*Belarus*(1-B117),2)</f>
        <v>245</v>
      </c>
      <c r="L65" s="45">
        <f>ROUND(232*Belarus*(1-B117),2)</f>
        <v>232</v>
      </c>
      <c r="M65" s="44">
        <f>ROUND(388*Belarus*(1-B117),2)</f>
        <v>388</v>
      </c>
      <c r="N65" s="44">
        <f>ROUND(237*Belarus*(1-B117),2)</f>
        <v>237</v>
      </c>
      <c r="O65" s="45">
        <f>ROUND(199*Belarus*(1-B117),2)</f>
        <v>199</v>
      </c>
      <c r="P65" s="45">
        <f>ROUND(197*Belarus*(1-B117),2)</f>
        <v>197</v>
      </c>
      <c r="Q65" s="44">
        <f>ROUND(256*Belarus*(1-B117),2)</f>
        <v>256</v>
      </c>
      <c r="R65" s="44">
        <f>ROUND(197*Belarus*(1-B117),2)</f>
        <v>197</v>
      </c>
      <c r="S65" s="44">
        <f>ROUND(149*Belarus*(1-B117),2)</f>
        <v>149</v>
      </c>
      <c r="T65" s="44">
        <f>ROUND(200*Belarus*(1-B117),2)</f>
        <v>200</v>
      </c>
    </row>
    <row r="66" spans="1:20" ht="20" customHeight="1" x14ac:dyDescent="0.15">
      <c r="A66" s="132" t="s">
        <v>91</v>
      </c>
      <c r="B66" s="132"/>
      <c r="C66" s="42" t="s">
        <v>38</v>
      </c>
      <c r="D66" s="43">
        <v>0.312</v>
      </c>
      <c r="E66" s="44">
        <f>ROUND(488*Belarus*(1-B117),2)</f>
        <v>488</v>
      </c>
      <c r="F66" s="44">
        <f>ROUND(511*Belarus*(1-B117),2)</f>
        <v>511</v>
      </c>
      <c r="G66" s="44">
        <f>ROUND(416*Belarus*(1-B117),2)</f>
        <v>416</v>
      </c>
      <c r="H66" s="45">
        <f>ROUND(576*Belarus*(1-B117),2)</f>
        <v>576</v>
      </c>
      <c r="I66" s="45">
        <f>ROUND(572*Belarus*(1-B117),2)</f>
        <v>572</v>
      </c>
      <c r="J66" s="45">
        <f>ROUND(478*Belarus*(1-B117),2)</f>
        <v>478</v>
      </c>
      <c r="K66" s="45">
        <f>ROUND(470*Belarus*(1-B117),2)</f>
        <v>470</v>
      </c>
      <c r="L66" s="45">
        <f>ROUND(444*Belarus*(1-B117),2)</f>
        <v>444</v>
      </c>
      <c r="M66" s="44">
        <f>ROUND(757*Belarus*(1-B117),2)</f>
        <v>757</v>
      </c>
      <c r="N66" s="44">
        <f>ROUND(455*Belarus*(1-B117),2)</f>
        <v>455</v>
      </c>
      <c r="O66" s="45">
        <f>ROUND(379*Belarus*(1-B117),2)</f>
        <v>379</v>
      </c>
      <c r="P66" s="45">
        <f>ROUND(374*Belarus*(1-B117),2)</f>
        <v>374</v>
      </c>
      <c r="Q66" s="44">
        <f>ROUND(493*Belarus*(1-B117),2)</f>
        <v>493</v>
      </c>
      <c r="R66" s="44">
        <f>ROUND(374*Belarus*(1-B117),2)</f>
        <v>374</v>
      </c>
      <c r="S66" s="44">
        <f>ROUND(279*Belarus*(1-B117),2)</f>
        <v>279</v>
      </c>
      <c r="T66" s="44">
        <f>ROUND(381*Belarus*(1-B117),2)</f>
        <v>381</v>
      </c>
    </row>
    <row r="67" spans="1:20" ht="20" customHeight="1" x14ac:dyDescent="0.15">
      <c r="A67" s="132" t="s">
        <v>92</v>
      </c>
      <c r="B67" s="132"/>
      <c r="C67" s="42" t="s">
        <v>38</v>
      </c>
      <c r="D67" s="43">
        <v>0.41499999999999998</v>
      </c>
      <c r="E67" s="44">
        <f>ROUND(645*Belarus*(1-B117),2)</f>
        <v>645</v>
      </c>
      <c r="F67" s="44">
        <f>ROUND(674*Belarus*(1-B117),2)</f>
        <v>674</v>
      </c>
      <c r="G67" s="44">
        <f>ROUND(548*Belarus*(1-B117),2)</f>
        <v>548</v>
      </c>
      <c r="H67" s="45">
        <f>ROUND(762*Belarus*(1-B117),2)</f>
        <v>762</v>
      </c>
      <c r="I67" s="45">
        <f>ROUND(756*Belarus*(1-B117),2)</f>
        <v>756</v>
      </c>
      <c r="J67" s="45">
        <f>ROUND(631*Belarus*(1-B117),2)</f>
        <v>631</v>
      </c>
      <c r="K67" s="45">
        <f>ROUND(621*Belarus*(1-B117),2)</f>
        <v>621</v>
      </c>
      <c r="L67" s="45">
        <f>ROUND(586*Belarus*(1-B117),2)</f>
        <v>586</v>
      </c>
      <c r="M67" s="44">
        <f>ROUND(1003*Belarus*(1-B117),2)</f>
        <v>1003</v>
      </c>
      <c r="N67" s="44">
        <f>ROUND(601*Belarus*(1-B117),2)</f>
        <v>601</v>
      </c>
      <c r="O67" s="45">
        <f>ROUND(499*Belarus*(1-B117),2)</f>
        <v>499</v>
      </c>
      <c r="P67" s="45">
        <f>ROUND(492*Belarus*(1-B117),2)</f>
        <v>492</v>
      </c>
      <c r="Q67" s="44">
        <f>ROUND(651*Belarus*(1-B117),2)</f>
        <v>651</v>
      </c>
      <c r="R67" s="44">
        <f>ROUND(492*Belarus*(1-B117),2)</f>
        <v>492</v>
      </c>
      <c r="S67" s="44">
        <f>ROUND(365*Belarus*(1-B117),2)</f>
        <v>365</v>
      </c>
      <c r="T67" s="44">
        <f>ROUND(501*Belarus*(1-B117),2)</f>
        <v>501</v>
      </c>
    </row>
    <row r="68" spans="1:20" ht="20" customHeight="1" x14ac:dyDescent="0.15">
      <c r="A68" s="132" t="s">
        <v>93</v>
      </c>
      <c r="B68" s="132"/>
      <c r="C68" s="42" t="s">
        <v>38</v>
      </c>
      <c r="D68" s="43">
        <v>0.39700000000000002</v>
      </c>
      <c r="E68" s="44">
        <f>ROUND(645*Belarus*(1-B117),2)</f>
        <v>645</v>
      </c>
      <c r="F68" s="44">
        <f>ROUND(674*Belarus*(1-B117),2)</f>
        <v>674</v>
      </c>
      <c r="G68" s="44">
        <f>ROUND(548*Belarus*(1-B117),2)</f>
        <v>548</v>
      </c>
      <c r="H68" s="45">
        <f>ROUND(762*Belarus*(1-B117),2)</f>
        <v>762</v>
      </c>
      <c r="I68" s="45">
        <f>ROUND(756*Belarus*(1-B117),2)</f>
        <v>756</v>
      </c>
      <c r="J68" s="45">
        <f>ROUND(631*Belarus*(1-B117),2)</f>
        <v>631</v>
      </c>
      <c r="K68" s="45">
        <f>ROUND(621*Belarus*(1-B117),2)</f>
        <v>621</v>
      </c>
      <c r="L68" s="45">
        <f>ROUND(586*Belarus*(1-B117),2)</f>
        <v>586</v>
      </c>
      <c r="M68" s="44">
        <f>ROUND(1003*Belarus*(1-B117),2)</f>
        <v>1003</v>
      </c>
      <c r="N68" s="44">
        <f>ROUND(601*Belarus*(1-B117),2)</f>
        <v>601</v>
      </c>
      <c r="O68" s="45">
        <f>ROUND(499*Belarus*(1-B117),2)</f>
        <v>499</v>
      </c>
      <c r="P68" s="45">
        <f>ROUND(492*Belarus*(1-B117),2)</f>
        <v>492</v>
      </c>
      <c r="Q68" s="44">
        <f>ROUND(651*Belarus*(1-B117),2)</f>
        <v>651</v>
      </c>
      <c r="R68" s="44">
        <f>ROUND(492*Belarus*(1-B117),2)</f>
        <v>492</v>
      </c>
      <c r="S68" s="44">
        <f>ROUND(365*Belarus*(1-B117),2)</f>
        <v>365</v>
      </c>
      <c r="T68" s="44">
        <f>ROUND(501*Belarus*(1-B117),2)</f>
        <v>501</v>
      </c>
    </row>
    <row r="69" spans="1:20" ht="20" customHeight="1" x14ac:dyDescent="0.15">
      <c r="A69" s="132" t="s">
        <v>94</v>
      </c>
      <c r="B69" s="132"/>
      <c r="C69" s="42" t="s">
        <v>38</v>
      </c>
      <c r="D69" s="43">
        <v>0.25</v>
      </c>
      <c r="E69" s="44">
        <f>ROUND(395*Belarus*(1-B117),2)</f>
        <v>395</v>
      </c>
      <c r="F69" s="44">
        <f>ROUND(412*Belarus*(1-B117),2)</f>
        <v>412</v>
      </c>
      <c r="G69" s="44">
        <f>ROUND(337*Belarus*(1-B117),2)</f>
        <v>337</v>
      </c>
      <c r="H69" s="45">
        <f>ROUND(465*Belarus*(1-B117),2)</f>
        <v>465</v>
      </c>
      <c r="I69" s="45">
        <f>ROUND(462*Belarus*(1-B117),2)</f>
        <v>462</v>
      </c>
      <c r="J69" s="45">
        <f>ROUND(387*Belarus*(1-B117),2)</f>
        <v>387</v>
      </c>
      <c r="K69" s="45">
        <f>ROUND(380*Belarus*(1-B117),2)</f>
        <v>380</v>
      </c>
      <c r="L69" s="45">
        <f>ROUND(359*Belarus*(1-B117),2)</f>
        <v>359</v>
      </c>
      <c r="M69" s="44">
        <f>ROUND(610*Belarus*(1-B117),2)</f>
        <v>610</v>
      </c>
      <c r="N69" s="44">
        <f>ROUND(368*Belarus*(1-B117),2)</f>
        <v>368</v>
      </c>
      <c r="O69" s="45">
        <f>ROUND(307*Belarus*(1-B117),2)</f>
        <v>307</v>
      </c>
      <c r="P69" s="45">
        <f>ROUND(303*Belarus*(1-B117),2)</f>
        <v>303</v>
      </c>
      <c r="Q69" s="44">
        <f>ROUND(398*Belarus*(1-B117),2)</f>
        <v>398</v>
      </c>
      <c r="R69" s="44">
        <f>ROUND(303*Belarus*(1-B117),2)</f>
        <v>303</v>
      </c>
      <c r="S69" s="44">
        <f>ROUND(227*Belarus*(1-B117),2)</f>
        <v>227</v>
      </c>
      <c r="T69" s="44">
        <f>ROUND(309*Belarus*(1-B117),2)</f>
        <v>309</v>
      </c>
    </row>
    <row r="70" spans="1:20" ht="20" customHeight="1" x14ac:dyDescent="0.15">
      <c r="A70" s="132" t="s">
        <v>95</v>
      </c>
      <c r="B70" s="132"/>
      <c r="C70" s="42" t="s">
        <v>38</v>
      </c>
      <c r="D70" s="43">
        <v>9.6000000000000002E-2</v>
      </c>
      <c r="E70" s="44">
        <f>ROUND(164*Belarus*(1-B117),2)</f>
        <v>164</v>
      </c>
      <c r="F70" s="44">
        <f>ROUND(170*Belarus*(1-B117),2)</f>
        <v>170</v>
      </c>
      <c r="G70" s="44">
        <f>ROUND(141*Belarus*(1-B117),2)</f>
        <v>141</v>
      </c>
      <c r="H70" s="45">
        <f>ROUND(191*Belarus*(1-B117),2)</f>
        <v>191</v>
      </c>
      <c r="I70" s="45">
        <f>ROUND(189*Belarus*(1-B117),2)</f>
        <v>189</v>
      </c>
      <c r="J70" s="45">
        <f>ROUND(161*Belarus*(1-B117),2)</f>
        <v>161</v>
      </c>
      <c r="K70" s="45">
        <f>ROUND(158*Belarus*(1-B117),2)</f>
        <v>158</v>
      </c>
      <c r="L70" s="45">
        <f>ROUND(150*Belarus*(1-B117),2)</f>
        <v>150</v>
      </c>
      <c r="M70" s="44">
        <f>ROUND(246*Belarus*(1-B117),2)</f>
        <v>246</v>
      </c>
      <c r="N70" s="44">
        <f>ROUND(153*Belarus*(1-B117),2)</f>
        <v>153</v>
      </c>
      <c r="O70" s="45">
        <f>ROUND(130*Belarus*(1-B117),2)</f>
        <v>130</v>
      </c>
      <c r="P70" s="45">
        <f>ROUND(128*Belarus*(1-B117),2)</f>
        <v>128</v>
      </c>
      <c r="Q70" s="44">
        <f>ROUND(165*Belarus*(1-B117),2)</f>
        <v>165</v>
      </c>
      <c r="R70" s="44">
        <f>ROUND(128*Belarus*(1-B117),2)</f>
        <v>128</v>
      </c>
      <c r="S70" s="44">
        <f>ROUND(99*Belarus*(1-B117),2)</f>
        <v>99</v>
      </c>
      <c r="T70" s="44">
        <f>ROUND(131*Belarus*(1-B117),2)</f>
        <v>131</v>
      </c>
    </row>
    <row r="71" spans="1:20" ht="20" customHeight="1" x14ac:dyDescent="0.15">
      <c r="A71" s="132" t="s">
        <v>96</v>
      </c>
      <c r="B71" s="132"/>
      <c r="C71" s="42" t="s">
        <v>38</v>
      </c>
      <c r="D71" s="43">
        <v>0.22500000000000001</v>
      </c>
      <c r="E71" s="44">
        <f>ROUND(395*Belarus*(1-B117),2)</f>
        <v>395</v>
      </c>
      <c r="F71" s="44">
        <f>ROUND(412*Belarus*(1-B117),2)</f>
        <v>412</v>
      </c>
      <c r="G71" s="44">
        <f>ROUND(337*Belarus*(1-B117),2)</f>
        <v>337</v>
      </c>
      <c r="H71" s="45">
        <f>ROUND(465*Belarus*(1-B117),2)</f>
        <v>465</v>
      </c>
      <c r="I71" s="45">
        <f>ROUND(462*Belarus*(1-B117),2)</f>
        <v>462</v>
      </c>
      <c r="J71" s="45">
        <f>ROUND(387*Belarus*(1-B117),2)</f>
        <v>387</v>
      </c>
      <c r="K71" s="45">
        <f>ROUND(380*Belarus*(1-B117),2)</f>
        <v>380</v>
      </c>
      <c r="L71" s="45">
        <f>ROUND(359*Belarus*(1-B117),2)</f>
        <v>359</v>
      </c>
      <c r="M71" s="44">
        <f>ROUND(610*Belarus*(1-B117),2)</f>
        <v>610</v>
      </c>
      <c r="N71" s="44">
        <f>ROUND(368*Belarus*(1-B117),2)</f>
        <v>368</v>
      </c>
      <c r="O71" s="45">
        <f>ROUND(307*Belarus*(1-B117),2)</f>
        <v>307</v>
      </c>
      <c r="P71" s="45">
        <f>ROUND(303*Belarus*(1-B117),2)</f>
        <v>303</v>
      </c>
      <c r="Q71" s="44">
        <f>ROUND(398*Belarus*(1-B117),2)</f>
        <v>398</v>
      </c>
      <c r="R71" s="44">
        <f>ROUND(303*Belarus*(1-B117),2)</f>
        <v>303</v>
      </c>
      <c r="S71" s="44">
        <f>ROUND(227*Belarus*(1-B117),2)</f>
        <v>227</v>
      </c>
      <c r="T71" s="44">
        <f>ROUND(309*Belarus*(1-B117),2)</f>
        <v>309</v>
      </c>
    </row>
    <row r="72" spans="1:20" ht="20" customHeight="1" x14ac:dyDescent="0.15">
      <c r="A72" s="132" t="s">
        <v>97</v>
      </c>
      <c r="B72" s="132"/>
      <c r="C72" s="42" t="s">
        <v>38</v>
      </c>
      <c r="D72" s="43">
        <v>0.25</v>
      </c>
      <c r="E72" s="44">
        <f>ROUND(395*Belarus*(1-B117),2)</f>
        <v>395</v>
      </c>
      <c r="F72" s="44">
        <f>ROUND(412*Belarus*(1-B117),2)</f>
        <v>412</v>
      </c>
      <c r="G72" s="44">
        <f>ROUND(337*Belarus*(1-B117),2)</f>
        <v>337</v>
      </c>
      <c r="H72" s="45">
        <f>ROUND(465*Belarus*(1-B117),2)</f>
        <v>465</v>
      </c>
      <c r="I72" s="45">
        <f>ROUND(462*Belarus*(1-B117),2)</f>
        <v>462</v>
      </c>
      <c r="J72" s="45">
        <f>ROUND(387*Belarus*(1-B117),2)</f>
        <v>387</v>
      </c>
      <c r="K72" s="45">
        <f>ROUND(380*Belarus*(1-B117),2)</f>
        <v>380</v>
      </c>
      <c r="L72" s="45">
        <f>ROUND(359*Belarus*(1-B117),2)</f>
        <v>359</v>
      </c>
      <c r="M72" s="44">
        <f>ROUND(610*Belarus*(1-B117),2)</f>
        <v>610</v>
      </c>
      <c r="N72" s="44">
        <f>ROUND(368*Belarus*(1-B117),2)</f>
        <v>368</v>
      </c>
      <c r="O72" s="45">
        <f>ROUND(307*Belarus*(1-B117),2)</f>
        <v>307</v>
      </c>
      <c r="P72" s="45">
        <f>ROUND(303*Belarus*(1-B117),2)</f>
        <v>303</v>
      </c>
      <c r="Q72" s="44">
        <f>ROUND(398*Belarus*(1-B117),2)</f>
        <v>398</v>
      </c>
      <c r="R72" s="44">
        <f>ROUND(303*Belarus*(1-B117),2)</f>
        <v>303</v>
      </c>
      <c r="S72" s="44">
        <f>ROUND(227*Belarus*(1-B117),2)</f>
        <v>227</v>
      </c>
      <c r="T72" s="44">
        <f>ROUND(309*Belarus*(1-B117),2)</f>
        <v>309</v>
      </c>
    </row>
    <row r="73" spans="1:20" ht="30" customHeight="1" x14ac:dyDescent="0.15">
      <c r="A73" s="80" t="s">
        <v>98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</row>
    <row r="74" spans="1:20" ht="20" customHeight="1" x14ac:dyDescent="0.15">
      <c r="A74" s="132" t="s">
        <v>99</v>
      </c>
      <c r="B74" s="132"/>
      <c r="C74" s="42" t="s">
        <v>38</v>
      </c>
      <c r="D74" s="46">
        <v>0.2</v>
      </c>
      <c r="E74" s="44">
        <f>ROUND(332*Belarus*(1-B117),2)</f>
        <v>332</v>
      </c>
      <c r="F74" s="44">
        <f>ROUND(347*Belarus*(1-B117),2)</f>
        <v>347</v>
      </c>
      <c r="G74" s="44">
        <f>ROUND(284*Belarus*(1-B117),2)</f>
        <v>284</v>
      </c>
      <c r="H74" s="45">
        <f>ROUND(391*Belarus*(1-B117),2)</f>
        <v>391</v>
      </c>
      <c r="I74" s="45">
        <f>ROUND(388*Belarus*(1-B117),2)</f>
        <v>388</v>
      </c>
      <c r="J74" s="45">
        <f>ROUND(325*Belarus*(1-B117),2)</f>
        <v>325</v>
      </c>
      <c r="K74" s="45">
        <f>ROUND(320*Belarus*(1-B117),2)</f>
        <v>320</v>
      </c>
      <c r="L74" s="45">
        <f>ROUND(303*Belarus*(1-B117),2)</f>
        <v>303</v>
      </c>
      <c r="M74" s="44">
        <f>ROUND(511*Belarus*(1-B117),2)</f>
        <v>511</v>
      </c>
      <c r="N74" s="44">
        <f>ROUND(310*Belarus*(1-B117),2)</f>
        <v>310</v>
      </c>
      <c r="O74" s="45">
        <f>ROUND(259*Belarus*(1-B117),2)</f>
        <v>259</v>
      </c>
      <c r="P74" s="45">
        <f>ROUND(256*Belarus*(1-B117),2)</f>
        <v>256</v>
      </c>
      <c r="Q74" s="44">
        <f>ROUND(335*Belarus*(1-B117),2)</f>
        <v>335</v>
      </c>
      <c r="R74" s="44">
        <f>ROUND(256*Belarus*(1-B117),2)</f>
        <v>256</v>
      </c>
      <c r="S74" s="44">
        <f>ROUND(192*Belarus*(1-B117),2)</f>
        <v>192</v>
      </c>
      <c r="T74" s="44">
        <f>ROUND(260*Belarus*(1-B117),2)</f>
        <v>260</v>
      </c>
    </row>
    <row r="75" spans="1:20" ht="20" customHeight="1" x14ac:dyDescent="0.15">
      <c r="A75" s="132" t="s">
        <v>100</v>
      </c>
      <c r="B75" s="47" t="s">
        <v>101</v>
      </c>
      <c r="C75" s="42" t="s">
        <v>38</v>
      </c>
      <c r="D75" s="46">
        <v>0.23499999999999999</v>
      </c>
      <c r="E75" s="44">
        <f>ROUND(395*Belarus*(1-B117),2)</f>
        <v>395</v>
      </c>
      <c r="F75" s="44">
        <f>ROUND(412*Belarus*(1-B117),2)</f>
        <v>412</v>
      </c>
      <c r="G75" s="44">
        <f>ROUND(337*Belarus*(1-B117),2)</f>
        <v>337</v>
      </c>
      <c r="H75" s="45">
        <f>ROUND(465*Belarus*(1-B117),2)</f>
        <v>465</v>
      </c>
      <c r="I75" s="45">
        <f>ROUND(462*Belarus*(1-B117),2)</f>
        <v>462</v>
      </c>
      <c r="J75" s="45">
        <f>ROUND(387*Belarus*(1-B117),2)</f>
        <v>387</v>
      </c>
      <c r="K75" s="45">
        <f>ROUND(380*Belarus*(1-B117),2)</f>
        <v>380</v>
      </c>
      <c r="L75" s="45">
        <f>ROUND(359*Belarus*(1-B117),2)</f>
        <v>359</v>
      </c>
      <c r="M75" s="44">
        <f>ROUND(610*Belarus*(1-B117),2)</f>
        <v>610</v>
      </c>
      <c r="N75" s="44">
        <f>ROUND(368*Belarus*(1-B117),2)</f>
        <v>368</v>
      </c>
      <c r="O75" s="45">
        <f>ROUND(307*Belarus*(1-B117),2)</f>
        <v>307</v>
      </c>
      <c r="P75" s="45">
        <f>ROUND(303*Belarus*(1-B117),2)</f>
        <v>303</v>
      </c>
      <c r="Q75" s="44">
        <f>ROUND(398*Belarus*(1-B117),2)</f>
        <v>398</v>
      </c>
      <c r="R75" s="44">
        <f>ROUND(303*Belarus*(1-B117),2)</f>
        <v>303</v>
      </c>
      <c r="S75" s="44">
        <f>ROUND(227*Belarus*(1-B117),2)</f>
        <v>227</v>
      </c>
      <c r="T75" s="44">
        <f>ROUND(309*Belarus*(1-B117),2)</f>
        <v>309</v>
      </c>
    </row>
    <row r="76" spans="1:20" ht="20" customHeight="1" x14ac:dyDescent="0.15">
      <c r="A76" s="132"/>
      <c r="B76" s="47" t="s">
        <v>102</v>
      </c>
      <c r="C76" s="42" t="s">
        <v>38</v>
      </c>
      <c r="D76" s="46">
        <v>0.20499999999999999</v>
      </c>
      <c r="E76" s="44">
        <f>ROUND(332*Belarus*(1-B117),2)</f>
        <v>332</v>
      </c>
      <c r="F76" s="44">
        <f>ROUND(347*Belarus*(1-B117),2)</f>
        <v>347</v>
      </c>
      <c r="G76" s="44">
        <f>ROUND(284*Belarus*(1-B117),2)</f>
        <v>284</v>
      </c>
      <c r="H76" s="45">
        <f>ROUND(391*Belarus*(1-B117),2)</f>
        <v>391</v>
      </c>
      <c r="I76" s="45">
        <f>ROUND(388*Belarus*(1-B117),2)</f>
        <v>388</v>
      </c>
      <c r="J76" s="45">
        <f>ROUND(325*Belarus*(1-B117),2)</f>
        <v>325</v>
      </c>
      <c r="K76" s="45">
        <f>ROUND(320*Belarus*(1-B117),2)</f>
        <v>320</v>
      </c>
      <c r="L76" s="45">
        <f>ROUND(303*Belarus*(1-B117),2)</f>
        <v>303</v>
      </c>
      <c r="M76" s="44">
        <f>ROUND(511*Belarus*(1-B117),2)</f>
        <v>511</v>
      </c>
      <c r="N76" s="44">
        <f>ROUND(310*Belarus*(1-B117),2)</f>
        <v>310</v>
      </c>
      <c r="O76" s="45">
        <f>ROUND(259*Belarus*(1-B117),2)</f>
        <v>259</v>
      </c>
      <c r="P76" s="45">
        <f>ROUND(256*Belarus*(1-B117),2)</f>
        <v>256</v>
      </c>
      <c r="Q76" s="44">
        <f>ROUND(335*Belarus*(1-B117),2)</f>
        <v>335</v>
      </c>
      <c r="R76" s="44">
        <f>ROUND(256*Belarus*(1-B117),2)</f>
        <v>256</v>
      </c>
      <c r="S76" s="44">
        <f>ROUND(192*Belarus*(1-B117),2)</f>
        <v>192</v>
      </c>
      <c r="T76" s="44">
        <f>ROUND(260*Belarus*(1-B117),2)</f>
        <v>260</v>
      </c>
    </row>
    <row r="77" spans="1:20" ht="20" customHeight="1" x14ac:dyDescent="0.15">
      <c r="A77" s="132"/>
      <c r="B77" s="47" t="s">
        <v>103</v>
      </c>
      <c r="C77" s="42" t="s">
        <v>38</v>
      </c>
      <c r="D77" s="46">
        <v>0.20799999999999999</v>
      </c>
      <c r="E77" s="44">
        <f>ROUND(332*Belarus*(1-B117),2)</f>
        <v>332</v>
      </c>
      <c r="F77" s="44">
        <f>ROUND(347*Belarus*(1-B117),2)</f>
        <v>347</v>
      </c>
      <c r="G77" s="44">
        <f>ROUND(284*Belarus*(1-B117),2)</f>
        <v>284</v>
      </c>
      <c r="H77" s="45">
        <f>ROUND(391*Belarus*(1-B117),2)</f>
        <v>391</v>
      </c>
      <c r="I77" s="45">
        <f>ROUND(388*Belarus*(1-B117),2)</f>
        <v>388</v>
      </c>
      <c r="J77" s="45">
        <f>ROUND(325*Belarus*(1-B117),2)</f>
        <v>325</v>
      </c>
      <c r="K77" s="45">
        <f>ROUND(320*Belarus*(1-B117),2)</f>
        <v>320</v>
      </c>
      <c r="L77" s="45">
        <f>ROUND(303*Belarus*(1-B117),2)</f>
        <v>303</v>
      </c>
      <c r="M77" s="44">
        <f>ROUND(511*Belarus*(1-B117),2)</f>
        <v>511</v>
      </c>
      <c r="N77" s="44">
        <f>ROUND(310*Belarus*(1-B117),2)</f>
        <v>310</v>
      </c>
      <c r="O77" s="45">
        <f>ROUND(259*Belarus*(1-B117),2)</f>
        <v>259</v>
      </c>
      <c r="P77" s="45">
        <f>ROUND(256*Belarus*(1-B117),2)</f>
        <v>256</v>
      </c>
      <c r="Q77" s="44">
        <f>ROUND(335*Belarus*(1-B117),2)</f>
        <v>335</v>
      </c>
      <c r="R77" s="44">
        <f>ROUND(256*Belarus*(1-B117),2)</f>
        <v>256</v>
      </c>
      <c r="S77" s="44">
        <f>ROUND(192*Belarus*(1-B117),2)</f>
        <v>192</v>
      </c>
      <c r="T77" s="44">
        <f>ROUND(260*Belarus*(1-B117),2)</f>
        <v>260</v>
      </c>
    </row>
    <row r="78" spans="1:20" ht="20" customHeight="1" x14ac:dyDescent="0.15">
      <c r="A78" s="132"/>
      <c r="B78" s="47" t="s">
        <v>104</v>
      </c>
      <c r="C78" s="42" t="s">
        <v>38</v>
      </c>
      <c r="D78" s="46">
        <v>0.27</v>
      </c>
      <c r="E78" s="44">
        <f>ROUND(488*Belarus*(1-B117),2)</f>
        <v>488</v>
      </c>
      <c r="F78" s="44">
        <f>ROUND(511*Belarus*(1-B117),2)</f>
        <v>511</v>
      </c>
      <c r="G78" s="44">
        <f>ROUND(416*Belarus*(1-B117),2)</f>
        <v>416</v>
      </c>
      <c r="H78" s="45">
        <f>ROUND(576*Belarus*(1-B117),2)</f>
        <v>576</v>
      </c>
      <c r="I78" s="45">
        <f>ROUND(572*Belarus*(1-B117),2)</f>
        <v>572</v>
      </c>
      <c r="J78" s="45">
        <f>ROUND(478*Belarus*(1-B117),2)</f>
        <v>478</v>
      </c>
      <c r="K78" s="45">
        <f>ROUND(470*Belarus*(1-B117),2)</f>
        <v>470</v>
      </c>
      <c r="L78" s="45">
        <f>ROUND(444*Belarus*(1-B117),2)</f>
        <v>444</v>
      </c>
      <c r="M78" s="44">
        <f>ROUND(757*Belarus*(1-B117),2)</f>
        <v>757</v>
      </c>
      <c r="N78" s="44">
        <f>ROUND(455*Belarus*(1-B117),2)</f>
        <v>455</v>
      </c>
      <c r="O78" s="45">
        <f>ROUND(379*Belarus*(1-B117),2)</f>
        <v>379</v>
      </c>
      <c r="P78" s="45">
        <f>ROUND(374*Belarus*(1-B117),2)</f>
        <v>374</v>
      </c>
      <c r="Q78" s="44">
        <f>ROUND(493*Belarus*(1-B117),2)</f>
        <v>493</v>
      </c>
      <c r="R78" s="44">
        <f>ROUND(374*Belarus*(1-B117),2)</f>
        <v>374</v>
      </c>
      <c r="S78" s="44">
        <f>ROUND(279*Belarus*(1-B117),2)</f>
        <v>279</v>
      </c>
      <c r="T78" s="44">
        <f>ROUND(381*Belarus*(1-B117),2)</f>
        <v>381</v>
      </c>
    </row>
    <row r="79" spans="1:20" ht="20" customHeight="1" x14ac:dyDescent="0.15">
      <c r="A79" s="132" t="s">
        <v>105</v>
      </c>
      <c r="B79" s="132"/>
      <c r="C79" s="42" t="s">
        <v>38</v>
      </c>
      <c r="D79" s="46">
        <v>0.17499999999999999</v>
      </c>
      <c r="E79" s="44">
        <f>ROUND(287*Belarus*(1-B117),2)</f>
        <v>287</v>
      </c>
      <c r="F79" s="44">
        <f>ROUND(300*Belarus*(1-B117),2)</f>
        <v>300</v>
      </c>
      <c r="G79" s="44">
        <f>ROUND(246*Belarus*(1-B117),2)</f>
        <v>246</v>
      </c>
      <c r="H79" s="45">
        <f>ROUND(338*Belarus*(1-B117),2)</f>
        <v>338</v>
      </c>
      <c r="I79" s="45">
        <f>ROUND(335*Belarus*(1-B117),2)</f>
        <v>335</v>
      </c>
      <c r="J79" s="45">
        <f>ROUND(282*Belarus*(1-B117),2)</f>
        <v>282</v>
      </c>
      <c r="K79" s="45">
        <f>ROUND(277*Belarus*(1-B117),2)</f>
        <v>277</v>
      </c>
      <c r="L79" s="45">
        <f>ROUND(262*Belarus*(1-B117),2)</f>
        <v>262</v>
      </c>
      <c r="M79" s="44">
        <f>ROUND(441*Belarus*(1-B117),2)</f>
        <v>441</v>
      </c>
      <c r="N79" s="44">
        <f>ROUND(268*Belarus*(1-B117),2)</f>
        <v>268</v>
      </c>
      <c r="O79" s="45">
        <f>ROUND(225*Belarus*(1-B117),2)</f>
        <v>225</v>
      </c>
      <c r="P79" s="45">
        <f>ROUND(222*Belarus*(1-B117),2)</f>
        <v>222</v>
      </c>
      <c r="Q79" s="44">
        <f>ROUND(290*Belarus*(1-B117),2)</f>
        <v>290</v>
      </c>
      <c r="R79" s="44">
        <f>ROUND(222*Belarus*(1-B117),2)</f>
        <v>222</v>
      </c>
      <c r="S79" s="44">
        <f>ROUND(168*Belarus*(1-B117),2)</f>
        <v>168</v>
      </c>
      <c r="T79" s="44">
        <f>ROUND(226*Belarus*(1-B117),2)</f>
        <v>226</v>
      </c>
    </row>
    <row r="80" spans="1:20" ht="20" customHeight="1" x14ac:dyDescent="0.15">
      <c r="A80" s="132" t="s">
        <v>106</v>
      </c>
      <c r="B80" s="132"/>
      <c r="C80" s="42" t="s">
        <v>38</v>
      </c>
      <c r="D80" s="46">
        <v>0.1</v>
      </c>
      <c r="E80" s="44">
        <f>ROUND(176*Belarus*(1-B117),2)</f>
        <v>176</v>
      </c>
      <c r="F80" s="44">
        <f>ROUND(183*Belarus*(1-B117),2)</f>
        <v>183</v>
      </c>
      <c r="G80" s="44">
        <f>ROUND(152*Belarus*(1-B117),2)</f>
        <v>152</v>
      </c>
      <c r="H80" s="45">
        <f>ROUND(205*Belarus*(1-B117),2)</f>
        <v>205</v>
      </c>
      <c r="I80" s="45">
        <f>ROUND(204*Belarus*(1-B117),2)</f>
        <v>204</v>
      </c>
      <c r="J80" s="45">
        <f>ROUND(172*Belarus*(1-B117),2)</f>
        <v>172</v>
      </c>
      <c r="K80" s="45">
        <f>ROUND(170*Belarus*(1-B117),2)</f>
        <v>170</v>
      </c>
      <c r="L80" s="45">
        <f>ROUND(161*Belarus*(1-B117),2)</f>
        <v>161</v>
      </c>
      <c r="M80" s="44">
        <f>ROUND(265*Belarus*(1-B117),2)</f>
        <v>265</v>
      </c>
      <c r="N80" s="44">
        <f>ROUND(165*Belarus*(1-B117),2)</f>
        <v>165</v>
      </c>
      <c r="O80" s="45">
        <f>ROUND(139*Belarus*(1-B117),2)</f>
        <v>139</v>
      </c>
      <c r="P80" s="45">
        <f>ROUND(138*Belarus*(1-B117),2)</f>
        <v>138</v>
      </c>
      <c r="Q80" s="44">
        <f>ROUND(177*Belarus*(1-B117),2)</f>
        <v>177</v>
      </c>
      <c r="R80" s="44">
        <f>ROUND(138*Belarus*(1-B117),2)</f>
        <v>138</v>
      </c>
      <c r="S80" s="44">
        <f>ROUND(106*Belarus*(1-B117),2)</f>
        <v>106</v>
      </c>
      <c r="T80" s="44">
        <f>ROUND(140*Belarus*(1-B117),2)</f>
        <v>140</v>
      </c>
    </row>
    <row r="81" spans="1:20" ht="30" customHeight="1" x14ac:dyDescent="0.15">
      <c r="A81" s="80" t="s">
        <v>107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</row>
    <row r="82" spans="1:20" ht="20" customHeight="1" x14ac:dyDescent="0.15">
      <c r="A82" s="134" t="s">
        <v>108</v>
      </c>
      <c r="B82" s="48" t="s">
        <v>109</v>
      </c>
      <c r="C82" s="42" t="s">
        <v>38</v>
      </c>
      <c r="D82" s="43">
        <v>0.32500000000000001</v>
      </c>
      <c r="E82" s="44">
        <f>ROUND(645*Belarus*(1-B117),2)</f>
        <v>645</v>
      </c>
      <c r="F82" s="44">
        <f>ROUND(674*Belarus*(1-B117),2)</f>
        <v>674</v>
      </c>
      <c r="G82" s="44">
        <f>ROUND(548*Belarus*(1-B117),2)</f>
        <v>548</v>
      </c>
      <c r="H82" s="45">
        <f>ROUND(762*Belarus*(1-B117),2)</f>
        <v>762</v>
      </c>
      <c r="I82" s="45">
        <f>ROUND(756*Belarus*(1-B117),2)</f>
        <v>756</v>
      </c>
      <c r="J82" s="45">
        <f>ROUND(631*Belarus*(1-B117),2)</f>
        <v>631</v>
      </c>
      <c r="K82" s="45">
        <f>ROUND(621*Belarus*(1-B117),2)</f>
        <v>621</v>
      </c>
      <c r="L82" s="45">
        <f>ROUND(586*Belarus*(1-B117),2)</f>
        <v>586</v>
      </c>
      <c r="M82" s="44">
        <f>ROUND(1003*Belarus*(1-B117),2)</f>
        <v>1003</v>
      </c>
      <c r="N82" s="44">
        <f>ROUND(601*Belarus*(1-B117),2)</f>
        <v>601</v>
      </c>
      <c r="O82" s="45">
        <f>ROUND(499*Belarus*(1-B117),2)</f>
        <v>499</v>
      </c>
      <c r="P82" s="45">
        <f>ROUND(492*Belarus*(1-B117),2)</f>
        <v>492</v>
      </c>
      <c r="Q82" s="44">
        <f>ROUND(651*Belarus*(1-B117),2)</f>
        <v>651</v>
      </c>
      <c r="R82" s="44">
        <f>ROUND(492*Belarus*(1-B117),2)</f>
        <v>492</v>
      </c>
      <c r="S82" s="44">
        <f>ROUND(356*Belarus*(1-B117),2)</f>
        <v>356</v>
      </c>
      <c r="T82" s="44">
        <f>ROUND(501*Belarus*(1-B117),2)</f>
        <v>501</v>
      </c>
    </row>
    <row r="83" spans="1:20" ht="20" customHeight="1" x14ac:dyDescent="0.15">
      <c r="A83" s="134"/>
      <c r="B83" s="48" t="s">
        <v>110</v>
      </c>
      <c r="C83" s="42" t="s">
        <v>38</v>
      </c>
      <c r="D83" s="43">
        <v>0.33</v>
      </c>
      <c r="E83" s="44">
        <f>ROUND(645*Belarus*(1-B117),2)</f>
        <v>645</v>
      </c>
      <c r="F83" s="44">
        <f>ROUND(674*Belarus*(1-B117),2)</f>
        <v>674</v>
      </c>
      <c r="G83" s="44">
        <f>ROUND(548*Belarus*(1-B117),2)</f>
        <v>548</v>
      </c>
      <c r="H83" s="45">
        <f>ROUND(762*Belarus*(1-B117),2)</f>
        <v>762</v>
      </c>
      <c r="I83" s="45">
        <f>ROUND(756*Belarus*(1-B117),2)</f>
        <v>756</v>
      </c>
      <c r="J83" s="45">
        <f>ROUND(631*Belarus*(1-B117),2)</f>
        <v>631</v>
      </c>
      <c r="K83" s="45">
        <f>ROUND(621*Belarus*(1-B117),2)</f>
        <v>621</v>
      </c>
      <c r="L83" s="45">
        <f>ROUND(586*Belarus*(1-B117),2)</f>
        <v>586</v>
      </c>
      <c r="M83" s="44">
        <f>ROUND(1003*Belarus*(1-B117),2)</f>
        <v>1003</v>
      </c>
      <c r="N83" s="44">
        <f>ROUND(601*Belarus*(1-B117),2)</f>
        <v>601</v>
      </c>
      <c r="O83" s="45">
        <f>ROUND(499*Belarus*(1-B117),2)</f>
        <v>499</v>
      </c>
      <c r="P83" s="45">
        <f>ROUND(492*Belarus*(1-B117),2)</f>
        <v>492</v>
      </c>
      <c r="Q83" s="44">
        <f>ROUND(651*Belarus*(1-B117),2)</f>
        <v>651</v>
      </c>
      <c r="R83" s="44">
        <f>ROUND(492*Belarus*(1-B117),2)</f>
        <v>492</v>
      </c>
      <c r="S83" s="44">
        <f>ROUND(356*Belarus*(1-B117),2)</f>
        <v>356</v>
      </c>
      <c r="T83" s="44">
        <f>ROUND(501*Belarus*(1-B117),2)</f>
        <v>501</v>
      </c>
    </row>
    <row r="84" spans="1:20" ht="20" customHeight="1" x14ac:dyDescent="0.15">
      <c r="A84" s="134"/>
      <c r="B84" s="48" t="s">
        <v>111</v>
      </c>
      <c r="C84" s="42" t="s">
        <v>38</v>
      </c>
      <c r="D84" s="43">
        <v>0.35499999999999998</v>
      </c>
      <c r="E84" s="44">
        <f>ROUND(645*Belarus*(1-B117),2)</f>
        <v>645</v>
      </c>
      <c r="F84" s="44">
        <f>ROUND(674*Belarus*(1-B117),2)</f>
        <v>674</v>
      </c>
      <c r="G84" s="44">
        <f>ROUND(548*Belarus*(1-B117),2)</f>
        <v>548</v>
      </c>
      <c r="H84" s="45">
        <f>ROUND(762*Belarus*(1-B117),2)</f>
        <v>762</v>
      </c>
      <c r="I84" s="45">
        <f>ROUND(756*Belarus*(1-B117),2)</f>
        <v>756</v>
      </c>
      <c r="J84" s="45">
        <f>ROUND(631*Belarus*(1-B117),2)</f>
        <v>631</v>
      </c>
      <c r="K84" s="45">
        <f>ROUND(621*Belarus*(1-B117),2)</f>
        <v>621</v>
      </c>
      <c r="L84" s="45">
        <f>ROUND(586*Belarus*(1-B117),2)</f>
        <v>586</v>
      </c>
      <c r="M84" s="44">
        <f>ROUND(1003*Belarus*(1-B117),2)</f>
        <v>1003</v>
      </c>
      <c r="N84" s="44">
        <f>ROUND(601*Belarus*(1-B117),2)</f>
        <v>601</v>
      </c>
      <c r="O84" s="45">
        <f>ROUND(499*Belarus*(1-B117),2)</f>
        <v>499</v>
      </c>
      <c r="P84" s="45">
        <f>ROUND(492*Belarus*(1-B117),2)</f>
        <v>492</v>
      </c>
      <c r="Q84" s="44">
        <f>ROUND(651*Belarus*(1-B117),2)</f>
        <v>651</v>
      </c>
      <c r="R84" s="44">
        <f>ROUND(492*Belarus*(1-B117),2)</f>
        <v>492</v>
      </c>
      <c r="S84" s="44">
        <f>ROUND(356*Belarus*(1-B117),2)</f>
        <v>356</v>
      </c>
      <c r="T84" s="44">
        <f>ROUND(501*Belarus*(1-B117),2)</f>
        <v>501</v>
      </c>
    </row>
    <row r="85" spans="1:20" ht="20" customHeight="1" x14ac:dyDescent="0.15">
      <c r="A85" s="134"/>
      <c r="B85" s="48" t="s">
        <v>112</v>
      </c>
      <c r="C85" s="42" t="s">
        <v>38</v>
      </c>
      <c r="D85" s="43">
        <v>0.375</v>
      </c>
      <c r="E85" s="44">
        <f>ROUND(645*Belarus*(1-B117),2)</f>
        <v>645</v>
      </c>
      <c r="F85" s="44">
        <f>ROUND(674*Belarus*(1-B117),2)</f>
        <v>674</v>
      </c>
      <c r="G85" s="44">
        <f>ROUND(548*Belarus*(1-B117),2)</f>
        <v>548</v>
      </c>
      <c r="H85" s="45">
        <f>ROUND(762*Belarus*(1-B117),2)</f>
        <v>762</v>
      </c>
      <c r="I85" s="45">
        <f>ROUND(756*Belarus*(1-B117),2)</f>
        <v>756</v>
      </c>
      <c r="J85" s="45">
        <f>ROUND(631*Belarus*(1-B117),2)</f>
        <v>631</v>
      </c>
      <c r="K85" s="45">
        <f>ROUND(621*Belarus*(1-B117),2)</f>
        <v>621</v>
      </c>
      <c r="L85" s="45">
        <f>ROUND(586*Belarus*(1-B117),2)</f>
        <v>586</v>
      </c>
      <c r="M85" s="44">
        <f>ROUND(1003*Belarus*(1-B117),2)</f>
        <v>1003</v>
      </c>
      <c r="N85" s="44">
        <f>ROUND(601*Belarus*(1-B117),2)</f>
        <v>601</v>
      </c>
      <c r="O85" s="45">
        <f>ROUND(499*Belarus*(1-B117),2)</f>
        <v>499</v>
      </c>
      <c r="P85" s="45">
        <f>ROUND(492*Belarus*(1-B117),2)</f>
        <v>492</v>
      </c>
      <c r="Q85" s="44">
        <f>ROUND(651*Belarus*(1-B117),2)</f>
        <v>651</v>
      </c>
      <c r="R85" s="44">
        <f>ROUND(492*Belarus*(1-B117),2)</f>
        <v>492</v>
      </c>
      <c r="S85" s="44">
        <f>ROUND(356*Belarus*(1-B117),2)</f>
        <v>356</v>
      </c>
      <c r="T85" s="44">
        <f>ROUND(501*Belarus*(1-B117),2)</f>
        <v>501</v>
      </c>
    </row>
    <row r="86" spans="1:20" ht="20" customHeight="1" x14ac:dyDescent="0.15">
      <c r="A86" s="134"/>
      <c r="B86" s="48" t="s">
        <v>113</v>
      </c>
      <c r="C86" s="42" t="s">
        <v>38</v>
      </c>
      <c r="D86" s="43">
        <v>0.38</v>
      </c>
      <c r="E86" s="44">
        <f>ROUND(645*Belarus*(1-B117),2)</f>
        <v>645</v>
      </c>
      <c r="F86" s="44">
        <f>ROUND(674*Belarus*(1-B117),2)</f>
        <v>674</v>
      </c>
      <c r="G86" s="44">
        <f>ROUND(548*Belarus*(1-B117),2)</f>
        <v>548</v>
      </c>
      <c r="H86" s="45">
        <f>ROUND(762*Belarus*(1-B117),2)</f>
        <v>762</v>
      </c>
      <c r="I86" s="45">
        <f>ROUND(756*Belarus*(1-B117),2)</f>
        <v>756</v>
      </c>
      <c r="J86" s="45">
        <f>ROUND(631*Belarus*(1-B117),2)</f>
        <v>631</v>
      </c>
      <c r="K86" s="45">
        <f>ROUND(621*Belarus*(1-B117),2)</f>
        <v>621</v>
      </c>
      <c r="L86" s="45">
        <f>ROUND(586*Belarus*(1-B117),2)</f>
        <v>586</v>
      </c>
      <c r="M86" s="44">
        <f>ROUND(1003*Belarus*(1-B117),2)</f>
        <v>1003</v>
      </c>
      <c r="N86" s="44">
        <f>ROUND(601*Belarus*(1-B117),2)</f>
        <v>601</v>
      </c>
      <c r="O86" s="45">
        <f>ROUND(499*Belarus*(1-B117),2)</f>
        <v>499</v>
      </c>
      <c r="P86" s="45">
        <f>ROUND(492*Belarus*(1-B117),2)</f>
        <v>492</v>
      </c>
      <c r="Q86" s="44">
        <f>ROUND(651*Belarus*(1-B117),2)</f>
        <v>651</v>
      </c>
      <c r="R86" s="44">
        <f>ROUND(492*Belarus*(1-B117),2)</f>
        <v>492</v>
      </c>
      <c r="S86" s="44">
        <f>ROUND(356*Belarus*(1-B117),2)</f>
        <v>356</v>
      </c>
      <c r="T86" s="44">
        <f>ROUND(501*Belarus*(1-B117),2)</f>
        <v>501</v>
      </c>
    </row>
    <row r="87" spans="1:20" ht="20" customHeight="1" x14ac:dyDescent="0.15">
      <c r="A87" s="134"/>
      <c r="B87" s="48" t="s">
        <v>114</v>
      </c>
      <c r="C87" s="42" t="s">
        <v>38</v>
      </c>
      <c r="D87" s="43">
        <v>0.41599999999999998</v>
      </c>
      <c r="E87" s="44">
        <f>ROUND(645*Belarus*(1-B117),2)</f>
        <v>645</v>
      </c>
      <c r="F87" s="44">
        <f>ROUND(674*Belarus*(1-B117),2)</f>
        <v>674</v>
      </c>
      <c r="G87" s="44">
        <f>ROUND(548*Belarus*(1-B117),2)</f>
        <v>548</v>
      </c>
      <c r="H87" s="45">
        <f>ROUND(762*Belarus*(1-B117),2)</f>
        <v>762</v>
      </c>
      <c r="I87" s="45">
        <f>ROUND(756*Belarus*(1-B117),2)</f>
        <v>756</v>
      </c>
      <c r="J87" s="45">
        <f>ROUND(631*Belarus*(1-B117),2)</f>
        <v>631</v>
      </c>
      <c r="K87" s="45">
        <f>ROUND(621*Belarus*(1-B117),2)</f>
        <v>621</v>
      </c>
      <c r="L87" s="45">
        <f>ROUND(586*Belarus*(1-B117),2)</f>
        <v>586</v>
      </c>
      <c r="M87" s="44">
        <f>ROUND(1003*Belarus*(1-B117),2)</f>
        <v>1003</v>
      </c>
      <c r="N87" s="44">
        <f>ROUND(601*Belarus*(1-B117),2)</f>
        <v>601</v>
      </c>
      <c r="O87" s="45">
        <f>ROUND(499*Belarus*(1-B117),2)</f>
        <v>499</v>
      </c>
      <c r="P87" s="45">
        <f>ROUND(492*Belarus*(1-B117),2)</f>
        <v>492</v>
      </c>
      <c r="Q87" s="44">
        <f>ROUND(651*Belarus*(1-B117),2)</f>
        <v>651</v>
      </c>
      <c r="R87" s="44">
        <f>ROUND(492*Belarus*(1-B117),2)</f>
        <v>492</v>
      </c>
      <c r="S87" s="44">
        <f>ROUND(356*Belarus*(1-B117),2)</f>
        <v>356</v>
      </c>
      <c r="T87" s="44">
        <f>ROUND(501*Belarus*(1-B117),2)</f>
        <v>501</v>
      </c>
    </row>
    <row r="88" spans="1:20" ht="20" customHeight="1" x14ac:dyDescent="0.2">
      <c r="A88" s="134" t="s">
        <v>115</v>
      </c>
      <c r="B88" s="135"/>
      <c r="C88" s="42" t="s">
        <v>38</v>
      </c>
      <c r="D88" s="43">
        <v>0.25</v>
      </c>
      <c r="E88" s="44">
        <f>ROUND(395*Belarus*(1-B117),2)</f>
        <v>395</v>
      </c>
      <c r="F88" s="44">
        <f>ROUND(412*Belarus*(1-B117),2)</f>
        <v>412</v>
      </c>
      <c r="G88" s="44">
        <f>ROUND(337*Belarus*(1-B117),2)</f>
        <v>337</v>
      </c>
      <c r="H88" s="45">
        <f>ROUND(465*Belarus*(1-B117),2)</f>
        <v>465</v>
      </c>
      <c r="I88" s="45">
        <f>ROUND(462*Belarus*(1-B117),2)</f>
        <v>462</v>
      </c>
      <c r="J88" s="45">
        <f>ROUND(387*Belarus*(1-B117),2)</f>
        <v>387</v>
      </c>
      <c r="K88" s="45">
        <f>ROUND(380*Belarus*(1-B117),2)</f>
        <v>380</v>
      </c>
      <c r="L88" s="45">
        <f>ROUND(359*Belarus*(1-B117),2)</f>
        <v>359</v>
      </c>
      <c r="M88" s="44">
        <f>ROUND(610*Belarus*(1-B117),2)</f>
        <v>610</v>
      </c>
      <c r="N88" s="44">
        <f>ROUND(368*Belarus*(1-B117),2)</f>
        <v>368</v>
      </c>
      <c r="O88" s="45">
        <f>ROUND(307*Belarus*(1-B117),2)</f>
        <v>307</v>
      </c>
      <c r="P88" s="45">
        <f>ROUND(303*Belarus*(1-B117),2)</f>
        <v>303</v>
      </c>
      <c r="Q88" s="44">
        <f>ROUND(398*Belarus*(1-B117),2)</f>
        <v>398</v>
      </c>
      <c r="R88" s="44">
        <f>ROUND(303*Belarus*(1-B117),2)</f>
        <v>303</v>
      </c>
      <c r="S88" s="44">
        <f>ROUND(221*Belarus*(1-B117),2)</f>
        <v>221</v>
      </c>
      <c r="T88" s="44">
        <f>ROUND(309*Belarus*(1-B117),2)</f>
        <v>309</v>
      </c>
    </row>
    <row r="89" spans="1:20" ht="20" customHeight="1" x14ac:dyDescent="0.15">
      <c r="A89" s="134" t="s">
        <v>116</v>
      </c>
      <c r="B89" s="48" t="s">
        <v>117</v>
      </c>
      <c r="C89" s="42" t="s">
        <v>38</v>
      </c>
      <c r="D89" s="43">
        <v>8.8999999999999996E-2</v>
      </c>
      <c r="E89" s="44">
        <f>ROUND(153*Belarus*(1-B117),2)</f>
        <v>153</v>
      </c>
      <c r="F89" s="44">
        <f>ROUND(160*Belarus*(1-B117),2)</f>
        <v>160</v>
      </c>
      <c r="G89" s="44">
        <f>ROUND(133*Belarus*(1-B117),2)</f>
        <v>133</v>
      </c>
      <c r="H89" s="45">
        <f>ROUND(178*Belarus*(1-B117),2)</f>
        <v>178</v>
      </c>
      <c r="I89" s="45">
        <f>ROUND(177*Belarus*(1-B117),2)</f>
        <v>177</v>
      </c>
      <c r="J89" s="45">
        <f>ROUND(150*Belarus*(1-B117),2)</f>
        <v>150</v>
      </c>
      <c r="K89" s="45">
        <f>ROUND(148*Belarus*(1-B117),2)</f>
        <v>148</v>
      </c>
      <c r="L89" s="45">
        <f>ROUND(141*Belarus*(1-B117),2)</f>
        <v>141</v>
      </c>
      <c r="M89" s="44">
        <f>ROUND(230*Belarus*(1-B117),2)</f>
        <v>230</v>
      </c>
      <c r="N89" s="44">
        <f>ROUND(144*Belarus*(1-B117),2)</f>
        <v>144</v>
      </c>
      <c r="O89" s="45">
        <f>ROUND(122*Belarus*(1-B117),2)</f>
        <v>122</v>
      </c>
      <c r="P89" s="45">
        <f>ROUND(121*Belarus*(1-B117),2)</f>
        <v>121</v>
      </c>
      <c r="Q89" s="44">
        <f>ROUND(155*Belarus*(1-B117),2)</f>
        <v>155</v>
      </c>
      <c r="R89" s="44">
        <f>ROUND(121*Belarus*(1-B117),2)</f>
        <v>121</v>
      </c>
      <c r="S89" s="44">
        <f>ROUND(91*Belarus*(1-B117),2)</f>
        <v>91</v>
      </c>
      <c r="T89" s="44">
        <f>ROUND(123*Belarus*(1-B117),2)</f>
        <v>123</v>
      </c>
    </row>
    <row r="90" spans="1:20" ht="20" customHeight="1" x14ac:dyDescent="0.15">
      <c r="A90" s="134"/>
      <c r="B90" s="48" t="s">
        <v>118</v>
      </c>
      <c r="C90" s="42" t="s">
        <v>38</v>
      </c>
      <c r="D90" s="43">
        <v>8.3000000000000004E-2</v>
      </c>
      <c r="E90" s="44">
        <f>ROUND(144*Belarus*(1-B117),2)</f>
        <v>144</v>
      </c>
      <c r="F90" s="44">
        <f>ROUND(150*Belarus*(1-B117),2)</f>
        <v>150</v>
      </c>
      <c r="G90" s="44">
        <f>ROUND(125*Belarus*(1-B117),2)</f>
        <v>125</v>
      </c>
      <c r="H90" s="45">
        <f>ROUND(168*Belarus*(1-B117),2)</f>
        <v>168</v>
      </c>
      <c r="I90" s="45">
        <f>ROUND(167*Belarus*(1-B117),2)</f>
        <v>167</v>
      </c>
      <c r="J90" s="45">
        <f>ROUND(142*Belarus*(1-B117),2)</f>
        <v>142</v>
      </c>
      <c r="K90" s="45">
        <f>ROUND(140*Belarus*(1-B117),2)</f>
        <v>140</v>
      </c>
      <c r="L90" s="45">
        <f>ROUND(133*Belarus*(1-B117),2)</f>
        <v>133</v>
      </c>
      <c r="M90" s="44">
        <f>ROUND(216*Belarus*(1-B117),2)</f>
        <v>216</v>
      </c>
      <c r="N90" s="44">
        <f>ROUND(136*Belarus*(1-B117),2)</f>
        <v>136</v>
      </c>
      <c r="O90" s="45">
        <f>ROUND(115*Belarus*(1-B117),2)</f>
        <v>115</v>
      </c>
      <c r="P90" s="45">
        <f>ROUND(114*Belarus*(1-B117),2)</f>
        <v>114</v>
      </c>
      <c r="Q90" s="44">
        <f>ROUND(146*Belarus*(1-B117),2)</f>
        <v>146</v>
      </c>
      <c r="R90" s="44">
        <f>ROUND(114*Belarus*(1-B117),2)</f>
        <v>114</v>
      </c>
      <c r="S90" s="44">
        <f>ROUND(87*Belarus*(1-B117),2)</f>
        <v>87</v>
      </c>
      <c r="T90" s="44">
        <f>ROUND(116*Belarus*(1-B117),2)</f>
        <v>116</v>
      </c>
    </row>
    <row r="91" spans="1:20" ht="20" customHeight="1" x14ac:dyDescent="0.15">
      <c r="A91" s="134" t="s">
        <v>119</v>
      </c>
      <c r="B91" s="134"/>
      <c r="C91" s="42" t="s">
        <v>38</v>
      </c>
      <c r="D91" s="43">
        <v>8.3000000000000004E-2</v>
      </c>
      <c r="E91" s="44">
        <f>ROUND(144*Belarus*(1-B117),2)</f>
        <v>144</v>
      </c>
      <c r="F91" s="44">
        <f>ROUND(150*Belarus*(1-B117),2)</f>
        <v>150</v>
      </c>
      <c r="G91" s="44">
        <f>ROUND(125*Belarus*(1-B117),2)</f>
        <v>125</v>
      </c>
      <c r="H91" s="45">
        <f>ROUND(168*Belarus*(1-B117),2)</f>
        <v>168</v>
      </c>
      <c r="I91" s="45">
        <f>ROUND(167*Belarus*(1-B117),2)</f>
        <v>167</v>
      </c>
      <c r="J91" s="45">
        <f>ROUND(142*Belarus*(1-B117),2)</f>
        <v>142</v>
      </c>
      <c r="K91" s="45">
        <f>ROUND(140*Belarus*(1-B117),2)</f>
        <v>140</v>
      </c>
      <c r="L91" s="45">
        <f>ROUND(133*Belarus*(1-B117),2)</f>
        <v>133</v>
      </c>
      <c r="M91" s="44">
        <f>ROUND(216*Belarus*(1-B117),2)</f>
        <v>216</v>
      </c>
      <c r="N91" s="44">
        <f>ROUND(136*Belarus*(1-B117),2)</f>
        <v>136</v>
      </c>
      <c r="O91" s="45">
        <f>ROUND(115*Belarus*(1-B117),2)</f>
        <v>115</v>
      </c>
      <c r="P91" s="45">
        <f>ROUND(114*Belarus*(1-B117),2)</f>
        <v>114</v>
      </c>
      <c r="Q91" s="44">
        <f>ROUND(146*Belarus*(1-B117),2)</f>
        <v>146</v>
      </c>
      <c r="R91" s="44">
        <f>ROUND(114*Belarus*(1-B117),2)</f>
        <v>114</v>
      </c>
      <c r="S91" s="44">
        <f>ROUND(87*Belarus*(1-B117),2)</f>
        <v>87</v>
      </c>
      <c r="T91" s="44">
        <f>ROUND(116*Belarus*(1-B117),2)</f>
        <v>116</v>
      </c>
    </row>
    <row r="92" spans="1:20" ht="20" customHeight="1" x14ac:dyDescent="0.15">
      <c r="A92" s="13"/>
      <c r="B92" s="13"/>
      <c r="C92" s="14"/>
      <c r="D92" s="15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</row>
    <row r="93" spans="1:20" ht="20" customHeight="1" x14ac:dyDescent="0.15">
      <c r="A93" s="13"/>
      <c r="B93" s="13"/>
      <c r="C93" s="14"/>
      <c r="D93" s="15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</row>
    <row r="94" spans="1:20" ht="30" customHeight="1" x14ac:dyDescent="0.15">
      <c r="A94" s="80" t="s">
        <v>120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</row>
    <row r="95" spans="1:20" ht="30" customHeight="1" x14ac:dyDescent="0.15">
      <c r="A95" s="123" t="s">
        <v>0</v>
      </c>
      <c r="B95" s="123"/>
      <c r="C95" s="123" t="s">
        <v>6</v>
      </c>
      <c r="D95" s="123" t="s">
        <v>121</v>
      </c>
      <c r="E95" s="123" t="s">
        <v>122</v>
      </c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</row>
    <row r="96" spans="1:20" ht="30" customHeight="1" x14ac:dyDescent="0.15">
      <c r="A96" s="123"/>
      <c r="B96" s="123"/>
      <c r="C96" s="123"/>
      <c r="D96" s="123"/>
      <c r="E96" s="2" t="s">
        <v>123</v>
      </c>
      <c r="F96" s="2" t="s">
        <v>124</v>
      </c>
      <c r="G96" s="2" t="s">
        <v>125</v>
      </c>
      <c r="H96" s="2" t="s">
        <v>18</v>
      </c>
      <c r="I96" s="2" t="s">
        <v>126</v>
      </c>
      <c r="J96" s="2" t="s">
        <v>20</v>
      </c>
      <c r="K96" s="2" t="s">
        <v>127</v>
      </c>
      <c r="L96" s="2" t="s">
        <v>22</v>
      </c>
      <c r="M96" s="2" t="s">
        <v>128</v>
      </c>
      <c r="N96" s="2" t="s">
        <v>129</v>
      </c>
      <c r="O96" s="2" t="s">
        <v>130</v>
      </c>
      <c r="P96" s="2" t="s">
        <v>24</v>
      </c>
      <c r="Q96" s="2" t="s">
        <v>131</v>
      </c>
      <c r="R96" s="2" t="s">
        <v>132</v>
      </c>
      <c r="S96" s="2" t="s">
        <v>133</v>
      </c>
      <c r="T96" s="2" t="s">
        <v>134</v>
      </c>
    </row>
    <row r="97" spans="1:20" ht="52" customHeight="1" x14ac:dyDescent="0.15">
      <c r="A97" s="128" t="s">
        <v>150</v>
      </c>
      <c r="B97" s="128"/>
      <c r="C97" s="19" t="s">
        <v>38</v>
      </c>
      <c r="D97" s="20">
        <v>50</v>
      </c>
      <c r="E97" s="21">
        <f>ROUND(D97*(IF(D97&lt;625,2056,2056*1.15)/1000)*Belarus*(1-B118),2)</f>
        <v>102.8</v>
      </c>
      <c r="F97" s="21">
        <f>ROUND(D97*(IF(D97&lt;625,1999,1999*1.15)/1000)*Belarus*(1-B118),2)</f>
        <v>99.95</v>
      </c>
      <c r="G97" s="21">
        <f>ROUND(D97*(IF(D97&lt;625,1734,1734*1.15)/1000)*Belarus*(1-B118),2)</f>
        <v>86.7</v>
      </c>
      <c r="H97" s="21">
        <f>ROUND(D97*(IF(D97&lt;625,2427,2427*1.15)/1000)*Belarus*(1-B118),2)</f>
        <v>121.35</v>
      </c>
      <c r="I97" s="21">
        <f>ROUND(D97*(IF(D97&lt;625,2292,2292*1.15)/1000)*Belarus*(1-B118),2)</f>
        <v>114.6</v>
      </c>
      <c r="J97" s="21">
        <f>ROUND(D97*(IF(D97&lt;625,1959,1959*1.15)/1000)*Belarus*(1-B118),2)</f>
        <v>97.95</v>
      </c>
      <c r="K97" s="21">
        <f>ROUND(D97*(IF(D97&lt;625,1824,1824*1.15)/1000)*Belarus*(1-B118),2)</f>
        <v>91.2</v>
      </c>
      <c r="L97" s="21">
        <f>ROUND(D97*(IF(D97&lt;625,1818,1818*1.15)/1000)*Belarus*(1-B118),2)</f>
        <v>90.9</v>
      </c>
      <c r="M97" s="21">
        <f>ROUND(D97*(IF(D97&lt;625,2821,2821*1.15)/1000)*Belarus*(1-B118),2)</f>
        <v>141.05000000000001</v>
      </c>
      <c r="N97" s="21">
        <f>ROUND(D97*(IF(D97&lt;625,1795,1795*1.15)/1000)*Belarus*(1-B118),2)</f>
        <v>89.75</v>
      </c>
      <c r="O97" s="21">
        <f>ROUND(D97*(IF(D97&lt;625,1786,1786*1.15)/1000)*Belarus*(1-B118),2)</f>
        <v>89.3</v>
      </c>
      <c r="P97" s="21">
        <f>ROUND(D97*(IF(D97&lt;625,1774,1774*1.15)/1000)*Belarus*(1-B118),2)</f>
        <v>88.7</v>
      </c>
      <c r="Q97" s="21">
        <f>ROUND(D97*(IF(D97&lt;625,2094,2094*1.15)/1000)*Belarus*(1-B118),2)</f>
        <v>104.7</v>
      </c>
      <c r="R97" s="21">
        <f>ROUND(D97*(IF(D97&lt;625,1774,1774*1.15)/1000)*Belarus*(1-B118),2)</f>
        <v>88.7</v>
      </c>
      <c r="S97" s="21">
        <f>ROUND(D97*(IF(D97&lt;625,1370,1370*1.15)/1000)*Belarus*(1-B118),2)</f>
        <v>68.5</v>
      </c>
      <c r="T97" s="21">
        <f>ROUND(D97*(IF(D97&lt;625,2064,2064*1.15)/1000)*Belarus*(1-B118),2)</f>
        <v>103.2</v>
      </c>
    </row>
    <row r="98" spans="1:20" ht="29" customHeight="1" x14ac:dyDescent="0.2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1:20" s="8" customFormat="1" ht="20" customHeight="1" x14ac:dyDescent="0.2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1:20" s="8" customFormat="1" ht="20" customHeight="1" x14ac:dyDescent="0.2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20" s="8" customFormat="1" ht="30" customHeight="1" x14ac:dyDescent="0.15">
      <c r="A101" s="80" t="s">
        <v>135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</row>
    <row r="102" spans="1:20" ht="30" customHeight="1" x14ac:dyDescent="0.15">
      <c r="A102" s="130" t="s">
        <v>136</v>
      </c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</row>
    <row r="103" spans="1:20" ht="27" customHeight="1" x14ac:dyDescent="0.15">
      <c r="A103" s="130" t="s">
        <v>137</v>
      </c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</row>
    <row r="104" spans="1:20" ht="20" customHeight="1" x14ac:dyDescent="0.15">
      <c r="A104" s="130" t="s">
        <v>138</v>
      </c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</row>
    <row r="105" spans="1:20" ht="20" customHeight="1" x14ac:dyDescent="0.15">
      <c r="A105" s="130" t="s">
        <v>139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</row>
    <row r="106" spans="1:20" ht="20" customHeight="1" x14ac:dyDescent="0.15">
      <c r="A106" s="130" t="s">
        <v>140</v>
      </c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</row>
    <row r="107" spans="1:20" ht="20" customHeight="1" x14ac:dyDescent="0.15">
      <c r="A107" s="130" t="s">
        <v>141</v>
      </c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</row>
    <row r="108" spans="1:20" ht="20" customHeight="1" x14ac:dyDescent="0.15">
      <c r="A108" s="130" t="s">
        <v>142</v>
      </c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</row>
    <row r="109" spans="1:20" ht="20" customHeight="1" x14ac:dyDescent="0.15">
      <c r="A109" s="140" t="s">
        <v>143</v>
      </c>
      <c r="B109" s="140"/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</row>
    <row r="110" spans="1:20" ht="20" customHeight="1" x14ac:dyDescent="0.15">
      <c r="A110" s="130" t="s">
        <v>144</v>
      </c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</row>
    <row r="111" spans="1:20" ht="20" customHeight="1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</row>
    <row r="112" spans="1:20" s="8" customFormat="1" ht="20" customHeight="1" x14ac:dyDescent="0.2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</row>
    <row r="113" spans="1:20" s="8" customFormat="1" ht="20" customHeight="1" x14ac:dyDescent="0.2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1:20" s="8" customFormat="1" ht="20" customHeight="1" x14ac:dyDescent="0.2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</row>
    <row r="115" spans="1:20" s="8" customFormat="1" ht="20" customHeight="1" x14ac:dyDescent="0.2">
      <c r="A115" s="136" t="s">
        <v>145</v>
      </c>
      <c r="B115" s="13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</row>
    <row r="116" spans="1:20" ht="20" customHeight="1" x14ac:dyDescent="0.2">
      <c r="A116" s="136"/>
      <c r="B116" s="13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</row>
    <row r="117" spans="1:20" ht="20" customHeight="1" x14ac:dyDescent="0.2">
      <c r="A117" s="17" t="s">
        <v>146</v>
      </c>
      <c r="B117" s="18">
        <v>0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</row>
    <row r="118" spans="1:20" ht="20" customHeight="1" x14ac:dyDescent="0.2">
      <c r="A118" s="17" t="s">
        <v>147</v>
      </c>
      <c r="B118" s="18">
        <v>0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</row>
    <row r="119" spans="1:20" ht="20" customHeight="1" x14ac:dyDescent="0.2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</row>
    <row r="120" spans="1:20" s="8" customFormat="1" x14ac:dyDescent="0.15"/>
    <row r="121" spans="1:20" s="8" customFormat="1" x14ac:dyDescent="0.15"/>
    <row r="122" spans="1:20" s="8" customFormat="1" x14ac:dyDescent="0.15"/>
    <row r="123" spans="1:20" s="8" customFormat="1" x14ac:dyDescent="0.15"/>
    <row r="124" spans="1:20" s="8" customFormat="1" x14ac:dyDescent="0.15"/>
    <row r="125" spans="1:20" s="8" customFormat="1" x14ac:dyDescent="0.15"/>
    <row r="126" spans="1:20" s="8" customFormat="1" x14ac:dyDescent="0.15"/>
    <row r="127" spans="1:20" s="8" customFormat="1" x14ac:dyDescent="0.15"/>
    <row r="128" spans="1:20" s="8" customFormat="1" x14ac:dyDescent="0.15"/>
    <row r="129" spans="1:20" s="8" customFormat="1" x14ac:dyDescent="0.15"/>
    <row r="130" spans="1:20" s="8" customFormat="1" x14ac:dyDescent="0.15"/>
    <row r="131" spans="1:20" s="8" customFormat="1" x14ac:dyDescent="0.15"/>
    <row r="132" spans="1:20" s="8" customFormat="1" x14ac:dyDescent="0.15"/>
    <row r="133" spans="1:20" s="8" customFormat="1" x14ac:dyDescent="0.15"/>
    <row r="134" spans="1:20" s="8" customFormat="1" x14ac:dyDescent="0.15"/>
    <row r="135" spans="1:20" s="8" customFormat="1" x14ac:dyDescent="0.15"/>
    <row r="136" spans="1:20" s="8" customFormat="1" x14ac:dyDescent="0.15"/>
    <row r="137" spans="1:20" s="8" customFormat="1" x14ac:dyDescent="0.15"/>
    <row r="138" spans="1:20" s="8" customFormat="1" x14ac:dyDescent="0.15"/>
    <row r="139" spans="1:20" s="8" customFormat="1" x14ac:dyDescent="0.15"/>
    <row r="140" spans="1:20" s="8" customFormat="1" x14ac:dyDescent="0.15"/>
    <row r="141" spans="1:20" s="8" customFormat="1" x14ac:dyDescent="0.15"/>
    <row r="142" spans="1:20" x14ac:dyDescent="0.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 x14ac:dyDescent="0.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1:20" x14ac:dyDescent="0.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1:20" x14ac:dyDescent="0.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1:20" x14ac:dyDescent="0.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1:20" x14ac:dyDescent="0.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1:20" x14ac:dyDescent="0.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1:20" x14ac:dyDescent="0.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1:20" x14ac:dyDescent="0.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1:20" x14ac:dyDescent="0.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1:20" x14ac:dyDescent="0.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1:20" x14ac:dyDescent="0.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1:20" x14ac:dyDescent="0.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1:20" x14ac:dyDescent="0.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 x14ac:dyDescent="0.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1:20" x14ac:dyDescent="0.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1:20" x14ac:dyDescent="0.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1:20" x14ac:dyDescent="0.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1:20" x14ac:dyDescent="0.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1:20" x14ac:dyDescent="0.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1:20" x14ac:dyDescent="0.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1:20" x14ac:dyDescent="0.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1:20" x14ac:dyDescent="0.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1:20" x14ac:dyDescent="0.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1:20" x14ac:dyDescent="0.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1:20" x14ac:dyDescent="0.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1:20" x14ac:dyDescent="0.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1:20" x14ac:dyDescent="0.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1:20" x14ac:dyDescent="0.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</row>
    <row r="171" spans="1:20" x14ac:dyDescent="0.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</row>
    <row r="172" spans="1:20" x14ac:dyDescent="0.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</row>
    <row r="173" spans="1:20" x14ac:dyDescent="0.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</row>
    <row r="174" spans="1:20" x14ac:dyDescent="0.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</row>
    <row r="175" spans="1:20" x14ac:dyDescent="0.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</row>
    <row r="176" spans="1:20" x14ac:dyDescent="0.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</row>
    <row r="177" spans="1:20" x14ac:dyDescent="0.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</row>
    <row r="178" spans="1:20" x14ac:dyDescent="0.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</row>
    <row r="179" spans="1:20" x14ac:dyDescent="0.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</row>
    <row r="180" spans="1:20" x14ac:dyDescent="0.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</row>
    <row r="181" spans="1:20" x14ac:dyDescent="0.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</row>
    <row r="182" spans="1:20" x14ac:dyDescent="0.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</row>
    <row r="183" spans="1:20" x14ac:dyDescent="0.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</row>
    <row r="184" spans="1:20" x14ac:dyDescent="0.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</row>
    <row r="185" spans="1:20" x14ac:dyDescent="0.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</row>
    <row r="186" spans="1:20" x14ac:dyDescent="0.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</row>
    <row r="187" spans="1:20" x14ac:dyDescent="0.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</row>
    <row r="188" spans="1:20" x14ac:dyDescent="0.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</row>
    <row r="189" spans="1:20" x14ac:dyDescent="0.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</row>
    <row r="190" spans="1:20" x14ac:dyDescent="0.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</row>
    <row r="191" spans="1:20" x14ac:dyDescent="0.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</row>
    <row r="192" spans="1:20" x14ac:dyDescent="0.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</row>
    <row r="193" spans="1:20" x14ac:dyDescent="0.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</row>
    <row r="194" spans="1:20" x14ac:dyDescent="0.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</row>
    <row r="195" spans="1:20" x14ac:dyDescent="0.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</row>
    <row r="196" spans="1:20" x14ac:dyDescent="0.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</row>
    <row r="197" spans="1:20" x14ac:dyDescent="0.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</row>
    <row r="198" spans="1:20" x14ac:dyDescent="0.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</row>
    <row r="199" spans="1:20" x14ac:dyDescent="0.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</row>
    <row r="200" spans="1:20" x14ac:dyDescent="0.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</row>
    <row r="201" spans="1:20" x14ac:dyDescent="0.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</row>
    <row r="202" spans="1:20" x14ac:dyDescent="0.1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</row>
    <row r="203" spans="1:20" x14ac:dyDescent="0.1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</row>
    <row r="204" spans="1:20" x14ac:dyDescent="0.1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</row>
    <row r="205" spans="1:20" x14ac:dyDescent="0.1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</row>
    <row r="206" spans="1:20" x14ac:dyDescent="0.1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</row>
    <row r="207" spans="1:20" x14ac:dyDescent="0.1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x14ac:dyDescent="0.1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20" x14ac:dyDescent="0.1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</row>
    <row r="210" spans="1:20" x14ac:dyDescent="0.1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</row>
    <row r="211" spans="1:20" x14ac:dyDescent="0.1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</row>
    <row r="212" spans="1:20" x14ac:dyDescent="0.1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</row>
    <row r="213" spans="1:20" x14ac:dyDescent="0.1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</row>
    <row r="214" spans="1:20" x14ac:dyDescent="0.1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</row>
    <row r="215" spans="1:20" x14ac:dyDescent="0.1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</row>
    <row r="216" spans="1:20" x14ac:dyDescent="0.1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</row>
    <row r="217" spans="1:20" x14ac:dyDescent="0.1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</row>
    <row r="218" spans="1:20" x14ac:dyDescent="0.1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</row>
    <row r="219" spans="1:20" x14ac:dyDescent="0.1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</row>
    <row r="220" spans="1:20" x14ac:dyDescent="0.1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</row>
    <row r="221" spans="1:20" x14ac:dyDescent="0.1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</row>
    <row r="222" spans="1:20" x14ac:dyDescent="0.1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</row>
    <row r="223" spans="1:20" x14ac:dyDescent="0.1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</row>
    <row r="224" spans="1:20" x14ac:dyDescent="0.1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</row>
    <row r="225" spans="1:20" x14ac:dyDescent="0.1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</row>
    <row r="226" spans="1:20" x14ac:dyDescent="0.1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</row>
    <row r="227" spans="1:20" x14ac:dyDescent="0.1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</row>
    <row r="228" spans="1:20" x14ac:dyDescent="0.1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</row>
    <row r="229" spans="1:20" x14ac:dyDescent="0.1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</row>
    <row r="230" spans="1:20" x14ac:dyDescent="0.1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</row>
    <row r="231" spans="1:20" x14ac:dyDescent="0.1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</row>
    <row r="232" spans="1:20" x14ac:dyDescent="0.1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</row>
    <row r="233" spans="1:20" x14ac:dyDescent="0.1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</row>
    <row r="234" spans="1:20" x14ac:dyDescent="0.1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</row>
    <row r="235" spans="1:20" x14ac:dyDescent="0.1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</row>
    <row r="236" spans="1:20" x14ac:dyDescent="0.1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</row>
    <row r="237" spans="1:20" x14ac:dyDescent="0.1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</row>
    <row r="238" spans="1:20" x14ac:dyDescent="0.1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</row>
    <row r="239" spans="1:20" x14ac:dyDescent="0.1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</row>
    <row r="240" spans="1:20" x14ac:dyDescent="0.1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</row>
    <row r="241" spans="1:20" x14ac:dyDescent="0.1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</row>
    <row r="242" spans="1:20" x14ac:dyDescent="0.1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</row>
    <row r="243" spans="1:20" x14ac:dyDescent="0.1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</row>
    <row r="244" spans="1:20" x14ac:dyDescent="0.1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 x14ac:dyDescent="0.1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</row>
    <row r="246" spans="1:20" x14ac:dyDescent="0.1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</row>
    <row r="247" spans="1:20" x14ac:dyDescent="0.1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</row>
    <row r="248" spans="1:20" x14ac:dyDescent="0.1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</row>
    <row r="249" spans="1:20" x14ac:dyDescent="0.1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</row>
    <row r="250" spans="1:20" x14ac:dyDescent="0.1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</row>
    <row r="251" spans="1:20" x14ac:dyDescent="0.1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</row>
    <row r="252" spans="1:20" x14ac:dyDescent="0.1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</row>
    <row r="253" spans="1:20" x14ac:dyDescent="0.1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</row>
    <row r="254" spans="1:20" x14ac:dyDescent="0.1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</row>
    <row r="255" spans="1:20" x14ac:dyDescent="0.1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</row>
    <row r="256" spans="1:20" x14ac:dyDescent="0.1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</row>
    <row r="257" spans="1:20" x14ac:dyDescent="0.1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</row>
    <row r="258" spans="1:20" x14ac:dyDescent="0.1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</row>
    <row r="259" spans="1:20" x14ac:dyDescent="0.1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</row>
    <row r="260" spans="1:20" x14ac:dyDescent="0.1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</row>
    <row r="261" spans="1:20" x14ac:dyDescent="0.1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</row>
    <row r="262" spans="1:20" x14ac:dyDescent="0.1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</row>
    <row r="263" spans="1:20" x14ac:dyDescent="0.1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</row>
    <row r="264" spans="1:20" x14ac:dyDescent="0.1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</row>
  </sheetData>
  <sheetProtection password="C7B8" sheet="1" objects="1" scenarios="1" selectLockedCells="1" selectUnlockedCells="1"/>
  <mergeCells count="71">
    <mergeCell ref="A64:T64"/>
    <mergeCell ref="A73:T73"/>
    <mergeCell ref="A81:T81"/>
    <mergeCell ref="A115:B116"/>
    <mergeCell ref="A9:T9"/>
    <mergeCell ref="A15:T15"/>
    <mergeCell ref="A89:A90"/>
    <mergeCell ref="A91:B91"/>
    <mergeCell ref="A107:T107"/>
    <mergeCell ref="A108:T108"/>
    <mergeCell ref="A109:T109"/>
    <mergeCell ref="A110:T110"/>
    <mergeCell ref="A101:T101"/>
    <mergeCell ref="A102:T102"/>
    <mergeCell ref="A103:T103"/>
    <mergeCell ref="A104:T104"/>
    <mergeCell ref="A8:T8"/>
    <mergeCell ref="A79:B79"/>
    <mergeCell ref="A80:B80"/>
    <mergeCell ref="A82:A87"/>
    <mergeCell ref="A88:B88"/>
    <mergeCell ref="A69:B69"/>
    <mergeCell ref="A70:B70"/>
    <mergeCell ref="A71:B71"/>
    <mergeCell ref="A72:B72"/>
    <mergeCell ref="A74:B74"/>
    <mergeCell ref="A75:A78"/>
    <mergeCell ref="A40:A42"/>
    <mergeCell ref="A16:B16"/>
    <mergeCell ref="A17:B17"/>
    <mergeCell ref="A18:A20"/>
    <mergeCell ref="A21:A25"/>
    <mergeCell ref="A1:T7"/>
    <mergeCell ref="A65:B65"/>
    <mergeCell ref="A66:B66"/>
    <mergeCell ref="A67:B67"/>
    <mergeCell ref="A68:B68"/>
    <mergeCell ref="A43:A46"/>
    <mergeCell ref="A48:A52"/>
    <mergeCell ref="A53:A55"/>
    <mergeCell ref="A56:B56"/>
    <mergeCell ref="A58:A62"/>
    <mergeCell ref="A63:B63"/>
    <mergeCell ref="A29:A30"/>
    <mergeCell ref="A31:A32"/>
    <mergeCell ref="A33:B33"/>
    <mergeCell ref="A34:B34"/>
    <mergeCell ref="A35:A39"/>
    <mergeCell ref="A105:T105"/>
    <mergeCell ref="A106:T106"/>
    <mergeCell ref="A94:T94"/>
    <mergeCell ref="A95:B96"/>
    <mergeCell ref="C95:C96"/>
    <mergeCell ref="D95:D96"/>
    <mergeCell ref="E95:T95"/>
    <mergeCell ref="A97:B97"/>
    <mergeCell ref="A26:A27"/>
    <mergeCell ref="A28:B28"/>
    <mergeCell ref="H12:L12"/>
    <mergeCell ref="M12:M13"/>
    <mergeCell ref="N12:N13"/>
    <mergeCell ref="A10:T10"/>
    <mergeCell ref="O12:P12"/>
    <mergeCell ref="Q12:R13"/>
    <mergeCell ref="S12:T13"/>
    <mergeCell ref="A11:A13"/>
    <mergeCell ref="B11:B14"/>
    <mergeCell ref="C11:C14"/>
    <mergeCell ref="D11:D14"/>
    <mergeCell ref="E11:T11"/>
    <mergeCell ref="E12:F12"/>
  </mergeCells>
  <printOptions horizontalCentered="1"/>
  <pageMargins left="0" right="0" top="0.47244094488188981" bottom="0" header="0" footer="0"/>
  <pageSetup paperSize="9" scale="10" firstPageNumber="0" orientation="landscape" horizontalDpi="300" verticalDpi="300"/>
  <headerFooter>
    <oddHeader xml:space="preserve">&amp;L&amp;G&amp;R&amp;5Центр поддержки клиентов Grand Line: 8-800-770-77-36 _x000D_cайт: www.grandline.ru &amp;11  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Комплектующие</vt:lpstr>
      <vt:lpstr>Колпаки и дымники</vt:lpstr>
      <vt:lpstr>Доборные элементы кровли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пользователь Microsoft Office</cp:lastModifiedBy>
  <cp:lastPrinted>2019-04-22T19:47:51Z</cp:lastPrinted>
  <dcterms:created xsi:type="dcterms:W3CDTF">2019-04-19T07:10:47Z</dcterms:created>
  <dcterms:modified xsi:type="dcterms:W3CDTF">2019-10-14T11:55:05Z</dcterms:modified>
</cp:coreProperties>
</file>